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hijs\Downloads\"/>
    </mc:Choice>
  </mc:AlternateContent>
  <xr:revisionPtr revIDLastSave="0" documentId="13_ncr:1_{10D9FE22-600B-40CD-B601-B4C0F56762AE}" xr6:coauthVersionLast="47" xr6:coauthVersionMax="47" xr10:uidLastSave="{00000000-0000-0000-0000-000000000000}"/>
  <bookViews>
    <workbookView xWindow="38290" yWindow="-220" windowWidth="38620" windowHeight="21100" xr2:uid="{00000000-000D-0000-FFFF-FFFF00000000}"/>
  </bookViews>
  <sheets>
    <sheet name="Fin Plan 4.7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3" i="1" l="1"/>
  <c r="T63" i="1"/>
  <c r="C52" i="1"/>
  <c r="C61" i="1" s="1"/>
  <c r="C62" i="1" s="1"/>
  <c r="C63" i="1" s="1"/>
  <c r="T50" i="1"/>
  <c r="U50" i="1" s="1"/>
  <c r="U52" i="1" s="1"/>
  <c r="S50" i="1"/>
  <c r="R50" i="1"/>
  <c r="Q50" i="1"/>
  <c r="P50" i="1"/>
  <c r="S49" i="1"/>
  <c r="T49" i="1" s="1"/>
  <c r="T52" i="1" s="1"/>
  <c r="R49" i="1"/>
  <c r="Q49" i="1"/>
  <c r="P49" i="1"/>
  <c r="O49" i="1"/>
  <c r="R48" i="1"/>
  <c r="S48" i="1" s="1"/>
  <c r="S52" i="1" s="1"/>
  <c r="Q48" i="1"/>
  <c r="P48" i="1"/>
  <c r="O48" i="1"/>
  <c r="N48" i="1"/>
  <c r="Q47" i="1"/>
  <c r="R47" i="1" s="1"/>
  <c r="R52" i="1" s="1"/>
  <c r="P47" i="1"/>
  <c r="O47" i="1"/>
  <c r="N47" i="1"/>
  <c r="M47" i="1"/>
  <c r="P46" i="1"/>
  <c r="Q46" i="1" s="1"/>
  <c r="Q52" i="1" s="1"/>
  <c r="O46" i="1"/>
  <c r="N46" i="1"/>
  <c r="M46" i="1"/>
  <c r="L46" i="1"/>
  <c r="O45" i="1"/>
  <c r="P45" i="1" s="1"/>
  <c r="P52" i="1" s="1"/>
  <c r="N45" i="1"/>
  <c r="M45" i="1"/>
  <c r="L45" i="1"/>
  <c r="K45" i="1"/>
  <c r="N44" i="1"/>
  <c r="O44" i="1" s="1"/>
  <c r="O52" i="1" s="1"/>
  <c r="M44" i="1"/>
  <c r="L44" i="1"/>
  <c r="K44" i="1"/>
  <c r="J44" i="1"/>
  <c r="M43" i="1"/>
  <c r="N43" i="1" s="1"/>
  <c r="N52" i="1" s="1"/>
  <c r="L43" i="1"/>
  <c r="K43" i="1"/>
  <c r="J43" i="1"/>
  <c r="I43" i="1"/>
  <c r="L42" i="1"/>
  <c r="M42" i="1" s="1"/>
  <c r="M52" i="1" s="1"/>
  <c r="K42" i="1"/>
  <c r="J42" i="1"/>
  <c r="I42" i="1"/>
  <c r="H42" i="1"/>
  <c r="I39" i="1"/>
  <c r="J39" i="1" s="1"/>
  <c r="H39" i="1"/>
  <c r="G39" i="1"/>
  <c r="F39" i="1"/>
  <c r="E39" i="1"/>
  <c r="H38" i="1"/>
  <c r="I38" i="1" s="1"/>
  <c r="G38" i="1"/>
  <c r="F38" i="1"/>
  <c r="E38" i="1"/>
  <c r="E52" i="1" s="1"/>
  <c r="D38" i="1"/>
  <c r="D52" i="1" s="1"/>
  <c r="G37" i="1"/>
  <c r="H37" i="1" s="1"/>
  <c r="F37" i="1"/>
  <c r="E37" i="1"/>
  <c r="D37" i="1"/>
  <c r="C37" i="1"/>
  <c r="U33" i="1"/>
  <c r="T33" i="1"/>
  <c r="C33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E32" i="1"/>
  <c r="D32" i="1"/>
  <c r="C32" i="1"/>
  <c r="U30" i="1"/>
  <c r="U34" i="1" s="1"/>
  <c r="T30" i="1"/>
  <c r="T34" i="1" s="1"/>
  <c r="S30" i="1"/>
  <c r="M30" i="1"/>
  <c r="L30" i="1"/>
  <c r="T29" i="1"/>
  <c r="S29" i="1"/>
  <c r="R29" i="1"/>
  <c r="Q29" i="1"/>
  <c r="P29" i="1"/>
  <c r="S28" i="1"/>
  <c r="R28" i="1"/>
  <c r="Q28" i="1"/>
  <c r="P28" i="1"/>
  <c r="O28" i="1"/>
  <c r="R27" i="1"/>
  <c r="R30" i="1" s="1"/>
  <c r="Q27" i="1"/>
  <c r="P27" i="1"/>
  <c r="P30" i="1" s="1"/>
  <c r="O27" i="1"/>
  <c r="O30" i="1" s="1"/>
  <c r="N27" i="1"/>
  <c r="N30" i="1" s="1"/>
  <c r="Q26" i="1"/>
  <c r="Q30" i="1" s="1"/>
  <c r="P26" i="1"/>
  <c r="O26" i="1"/>
  <c r="N26" i="1"/>
  <c r="M26" i="1"/>
  <c r="P25" i="1"/>
  <c r="O25" i="1"/>
  <c r="N25" i="1"/>
  <c r="M25" i="1"/>
  <c r="L25" i="1"/>
  <c r="O24" i="1"/>
  <c r="N24" i="1"/>
  <c r="M24" i="1"/>
  <c r="L24" i="1"/>
  <c r="K24" i="1"/>
  <c r="N23" i="1"/>
  <c r="M23" i="1"/>
  <c r="L23" i="1"/>
  <c r="K23" i="1"/>
  <c r="J23" i="1"/>
  <c r="M22" i="1"/>
  <c r="L22" i="1"/>
  <c r="K22" i="1"/>
  <c r="J22" i="1"/>
  <c r="I22" i="1"/>
  <c r="L21" i="1"/>
  <c r="K21" i="1"/>
  <c r="J21" i="1"/>
  <c r="I21" i="1"/>
  <c r="H21" i="1"/>
  <c r="I18" i="1"/>
  <c r="H18" i="1"/>
  <c r="G18" i="1"/>
  <c r="F18" i="1"/>
  <c r="E18" i="1"/>
  <c r="H17" i="1"/>
  <c r="G17" i="1"/>
  <c r="F17" i="1"/>
  <c r="E17" i="1"/>
  <c r="G16" i="1"/>
  <c r="F16" i="1"/>
  <c r="E16" i="1"/>
  <c r="E30" i="1" s="1"/>
  <c r="D16" i="1"/>
  <c r="C16" i="1"/>
  <c r="C30" i="1" s="1"/>
  <c r="C34" i="1" s="1"/>
  <c r="C56" i="1" s="1"/>
  <c r="C57" i="1" s="1"/>
  <c r="E15" i="1"/>
  <c r="D15" i="1"/>
  <c r="D17" i="1" s="1"/>
  <c r="D30" i="1" s="1"/>
  <c r="C66" i="1"/>
  <c r="D65" i="1" s="1"/>
  <c r="U56" i="1" l="1"/>
  <c r="T56" i="1"/>
  <c r="E61" i="1"/>
  <c r="C65" i="1"/>
  <c r="D61" i="1"/>
  <c r="D62" i="1" s="1"/>
  <c r="F15" i="1"/>
  <c r="J19" i="1" l="1"/>
  <c r="G19" i="1"/>
  <c r="F19" i="1"/>
  <c r="F30" i="1" s="1"/>
  <c r="G40" i="1"/>
  <c r="J40" i="1"/>
  <c r="I40" i="1"/>
  <c r="G15" i="1"/>
  <c r="H40" i="1"/>
  <c r="F40" i="1"/>
  <c r="F52" i="1" s="1"/>
  <c r="F32" i="1"/>
  <c r="I19" i="1"/>
  <c r="H19" i="1"/>
  <c r="D33" i="1"/>
  <c r="D63" i="1"/>
  <c r="E62" i="1"/>
  <c r="E33" i="1" l="1"/>
  <c r="E63" i="1"/>
  <c r="D66" i="1"/>
  <c r="E65" i="1" s="1"/>
  <c r="D34" i="1"/>
  <c r="D56" i="1" s="1"/>
  <c r="D57" i="1" s="1"/>
  <c r="J41" i="1"/>
  <c r="J52" i="1" s="1"/>
  <c r="I41" i="1"/>
  <c r="H20" i="1"/>
  <c r="H30" i="1" s="1"/>
  <c r="H41" i="1"/>
  <c r="H52" i="1" s="1"/>
  <c r="G41" i="1"/>
  <c r="G52" i="1" s="1"/>
  <c r="J20" i="1"/>
  <c r="J30" i="1" s="1"/>
  <c r="K20" i="1"/>
  <c r="K30" i="1" s="1"/>
  <c r="I20" i="1"/>
  <c r="I30" i="1" s="1"/>
  <c r="G32" i="1"/>
  <c r="G20" i="1"/>
  <c r="G30" i="1" s="1"/>
  <c r="K41" i="1"/>
  <c r="L41" i="1" s="1"/>
  <c r="L52" i="1" s="1"/>
  <c r="I52" i="1"/>
  <c r="K40" i="1"/>
  <c r="K52" i="1" s="1"/>
  <c r="F61" i="1"/>
  <c r="F62" i="1" s="1"/>
  <c r="E66" i="1" l="1"/>
  <c r="F65" i="1" s="1"/>
  <c r="E34" i="1"/>
  <c r="E56" i="1" s="1"/>
  <c r="E57" i="1" s="1"/>
  <c r="F33" i="1"/>
  <c r="F63" i="1"/>
  <c r="G62" i="1"/>
  <c r="H62" i="1" l="1"/>
  <c r="G63" i="1"/>
  <c r="G33" i="1"/>
  <c r="F66" i="1"/>
  <c r="G65" i="1" s="1"/>
  <c r="F34" i="1"/>
  <c r="F56" i="1" s="1"/>
  <c r="F57" i="1" s="1"/>
  <c r="G66" i="1" l="1"/>
  <c r="H65" i="1" s="1"/>
  <c r="G34" i="1"/>
  <c r="G56" i="1" s="1"/>
  <c r="G57" i="1" s="1"/>
  <c r="I62" i="1"/>
  <c r="H63" i="1"/>
  <c r="H33" i="1"/>
  <c r="H66" i="1" l="1"/>
  <c r="I65" i="1" s="1"/>
  <c r="H34" i="1"/>
  <c r="H56" i="1" s="1"/>
  <c r="H57" i="1" s="1"/>
  <c r="J62" i="1"/>
  <c r="I33" i="1"/>
  <c r="I63" i="1"/>
  <c r="I66" i="1" l="1"/>
  <c r="J65" i="1" s="1"/>
  <c r="I34" i="1"/>
  <c r="I56" i="1" s="1"/>
  <c r="I57" i="1" s="1"/>
  <c r="J63" i="1"/>
  <c r="J33" i="1"/>
  <c r="K62" i="1"/>
  <c r="K63" i="1" l="1"/>
  <c r="L62" i="1"/>
  <c r="K33" i="1"/>
  <c r="J66" i="1"/>
  <c r="K65" i="1" s="1"/>
  <c r="J34" i="1"/>
  <c r="J56" i="1" s="1"/>
  <c r="J57" i="1" s="1"/>
  <c r="K66" i="1" l="1"/>
  <c r="L65" i="1" s="1"/>
  <c r="K34" i="1"/>
  <c r="K56" i="1" s="1"/>
  <c r="K57" i="1" s="1"/>
  <c r="M62" i="1"/>
  <c r="L63" i="1"/>
  <c r="L33" i="1"/>
  <c r="L34" i="1" l="1"/>
  <c r="L56" i="1" s="1"/>
  <c r="L57" i="1" s="1"/>
  <c r="L66" i="1"/>
  <c r="M65" i="1" s="1"/>
  <c r="N62" i="1"/>
  <c r="M63" i="1"/>
  <c r="M33" i="1"/>
  <c r="M66" i="1" l="1"/>
  <c r="N65" i="1" s="1"/>
  <c r="M34" i="1"/>
  <c r="M56" i="1" s="1"/>
  <c r="M57" i="1" s="1"/>
  <c r="N63" i="1"/>
  <c r="O61" i="1"/>
  <c r="O62" i="1" s="1"/>
  <c r="N33" i="1"/>
  <c r="O63" i="1" l="1"/>
  <c r="O33" i="1"/>
  <c r="P62" i="1"/>
  <c r="N34" i="1"/>
  <c r="N56" i="1" s="1"/>
  <c r="N57" i="1" s="1"/>
  <c r="N66" i="1"/>
  <c r="O65" i="1" s="1"/>
  <c r="Q62" i="1" l="1"/>
  <c r="P63" i="1"/>
  <c r="P33" i="1"/>
  <c r="O34" i="1"/>
  <c r="O56" i="1" s="1"/>
  <c r="O57" i="1" s="1"/>
  <c r="O66" i="1"/>
  <c r="P65" i="1" s="1"/>
  <c r="P34" i="1" l="1"/>
  <c r="P56" i="1" s="1"/>
  <c r="P57" i="1" s="1"/>
  <c r="P66" i="1"/>
  <c r="Q65" i="1" s="1"/>
  <c r="Q63" i="1"/>
  <c r="Q33" i="1"/>
  <c r="R62" i="1"/>
  <c r="Q66" i="1" l="1"/>
  <c r="R65" i="1" s="1"/>
  <c r="Q34" i="1"/>
  <c r="Q56" i="1" s="1"/>
  <c r="Q57" i="1" s="1"/>
  <c r="R63" i="1"/>
  <c r="R33" i="1"/>
  <c r="S62" i="1"/>
  <c r="S33" i="1" l="1"/>
  <c r="S63" i="1"/>
  <c r="R66" i="1"/>
  <c r="S65" i="1" s="1"/>
  <c r="R34" i="1"/>
  <c r="R56" i="1" s="1"/>
  <c r="R57" i="1" s="1"/>
  <c r="S34" i="1" l="1"/>
  <c r="S56" i="1" s="1"/>
  <c r="S57" i="1" s="1"/>
  <c r="T57" i="1" s="1"/>
  <c r="U57" i="1" s="1"/>
  <c r="S66" i="1"/>
  <c r="T65" i="1" l="1"/>
  <c r="T66" i="1"/>
  <c r="U65" i="1" l="1"/>
  <c r="U66" i="1"/>
</calcChain>
</file>

<file path=xl/sharedStrings.xml><?xml version="1.0" encoding="utf-8"?>
<sst xmlns="http://schemas.openxmlformats.org/spreadsheetml/2006/main" count="64" uniqueCount="43">
  <si>
    <t>Eenvoudig fiancieel plan</t>
  </si>
  <si>
    <t>Gemiddelde marge</t>
  </si>
  <si>
    <t>Verwerkt</t>
  </si>
  <si>
    <t>Operationele kost</t>
  </si>
  <si>
    <t>Rente op kapitaal</t>
  </si>
  <si>
    <t>Leasing over x jaar</t>
  </si>
  <si>
    <t>Verlenging:</t>
  </si>
  <si>
    <t>Marge op verlenging</t>
  </si>
  <si>
    <t>Afkoop</t>
  </si>
  <si>
    <t>Defaults/verzekering</t>
  </si>
  <si>
    <t>Jaar</t>
  </si>
  <si>
    <t>Totalen</t>
  </si>
  <si>
    <t>Opstartkapitaal</t>
  </si>
  <si>
    <t>Kosten</t>
  </si>
  <si>
    <t>Contracten 2026</t>
  </si>
  <si>
    <t>Contracten 2027</t>
  </si>
  <si>
    <t>Contracten 2028</t>
  </si>
  <si>
    <t>Contracten 2029</t>
  </si>
  <si>
    <t>Contracten 2030</t>
  </si>
  <si>
    <t>Contracten 2031</t>
  </si>
  <si>
    <t>Contracten 2032</t>
  </si>
  <si>
    <t>Contracten 2033</t>
  </si>
  <si>
    <t>Contracten 2034</t>
  </si>
  <si>
    <t>Contracten 2035</t>
  </si>
  <si>
    <t>Contracten 2036</t>
  </si>
  <si>
    <t>Contracten 2037</t>
  </si>
  <si>
    <t>Contracten 2038</t>
  </si>
  <si>
    <t>Contracten 2039</t>
  </si>
  <si>
    <t>Aankoop na afschrijving</t>
  </si>
  <si>
    <t>Operationele kost + defaults</t>
  </si>
  <si>
    <t>Rentes op kapitaal</t>
  </si>
  <si>
    <t>Totale kosten</t>
  </si>
  <si>
    <t>Inkomsten</t>
  </si>
  <si>
    <t>Winst</t>
  </si>
  <si>
    <t>Gecummuleerde winst</t>
  </si>
  <si>
    <t>Bank</t>
  </si>
  <si>
    <t>Herfinanciering</t>
  </si>
  <si>
    <t>Cummulatieve schuld</t>
  </si>
  <si>
    <t>Loan to Value (LTV)</t>
  </si>
  <si>
    <t>cashflow jaar nadien</t>
  </si>
  <si>
    <t>Cashflow</t>
  </si>
  <si>
    <t>Jaarlijkse leasing</t>
  </si>
  <si>
    <t>ARR (jaarlijkse inkomst)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</si>
</sst>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€-2]\ #,##0.00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0" fontId="2" fillId="0" borderId="1" xfId="0" applyNumberFormat="1" applyFont="1" applyBorder="1"/>
    <xf numFmtId="164" fontId="2" fillId="0" borderId="1" xfId="0" applyNumberFormat="1" applyFont="1" applyBorder="1"/>
    <xf numFmtId="9" fontId="2" fillId="0" borderId="1" xfId="0" applyNumberFormat="1" applyFont="1" applyBorder="1"/>
    <xf numFmtId="165" fontId="2" fillId="0" borderId="1" xfId="0" applyNumberFormat="1" applyFont="1" applyBorder="1"/>
    <xf numFmtId="165" fontId="1" fillId="0" borderId="1" xfId="0" applyNumberFormat="1" applyFont="1" applyBorder="1"/>
    <xf numFmtId="165" fontId="2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'Fin Plan 4.7M'!$A$56</c:f>
              <c:strCache>
                <c:ptCount val="1"/>
                <c:pt idx="0">
                  <c:v>Winst</c:v>
                </c:pt>
              </c:strCache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'Fin Plan 4.7M'!$B$11:$P$11</c:f>
              <c:strCache>
                <c:ptCount val="15"/>
                <c:pt idx="0">
                  <c:v>Totalen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</c:strCache>
            </c:strRef>
          </c:cat>
          <c:val>
            <c:numRef>
              <c:f>'Fin Plan 4.7M'!$B$56:$P$56</c:f>
              <c:numCache>
                <c:formatCode>[$€-2]\ #,##0.00</c:formatCode>
                <c:ptCount val="15"/>
                <c:pt idx="1">
                  <c:v>-105750</c:v>
                </c:pt>
                <c:pt idx="2">
                  <c:v>141958.79999999981</c:v>
                </c:pt>
                <c:pt idx="3">
                  <c:v>344152.79999999981</c:v>
                </c:pt>
                <c:pt idx="4">
                  <c:v>693580.12800000049</c:v>
                </c:pt>
                <c:pt idx="5">
                  <c:v>1282840.1280000005</c:v>
                </c:pt>
                <c:pt idx="6">
                  <c:v>2371939.3279999979</c:v>
                </c:pt>
                <c:pt idx="7">
                  <c:v>3252879.3279999979</c:v>
                </c:pt>
                <c:pt idx="8">
                  <c:v>4400995.3279999979</c:v>
                </c:pt>
                <c:pt idx="9">
                  <c:v>5822357.7280000001</c:v>
                </c:pt>
                <c:pt idx="10">
                  <c:v>6929065.0879999995</c:v>
                </c:pt>
                <c:pt idx="11">
                  <c:v>7876430.1279999986</c:v>
                </c:pt>
                <c:pt idx="12">
                  <c:v>7924430.1279999986</c:v>
                </c:pt>
                <c:pt idx="13">
                  <c:v>8200000</c:v>
                </c:pt>
                <c:pt idx="14">
                  <c:v>8072500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5-4D20-8C23-5F30160EC67B}"/>
            </c:ext>
          </c:extLst>
        </c:ser>
        <c:ser>
          <c:idx val="1"/>
          <c:order val="1"/>
          <c:tx>
            <c:strRef>
              <c:f>'Fin Plan 4.7M'!$A$62</c:f>
              <c:strCache>
                <c:ptCount val="1"/>
                <c:pt idx="0">
                  <c:v>Cummulatieve schuld</c:v>
                </c:pt>
              </c:strCache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cat>
            <c:strRef>
              <c:f>'Fin Plan 4.7M'!$B$11:$P$11</c:f>
              <c:strCache>
                <c:ptCount val="15"/>
                <c:pt idx="0">
                  <c:v>Totalen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</c:strCache>
            </c:strRef>
          </c:cat>
          <c:val>
            <c:numRef>
              <c:f>'Fin Plan 4.7M'!$B$62:$P$62</c:f>
              <c:numCache>
                <c:formatCode>[$€-2]\ #,##0.00</c:formatCode>
                <c:ptCount val="15"/>
                <c:pt idx="1">
                  <c:v>2434600</c:v>
                </c:pt>
                <c:pt idx="2">
                  <c:v>6446520</c:v>
                </c:pt>
                <c:pt idx="3">
                  <c:v>11301620</c:v>
                </c:pt>
                <c:pt idx="4">
                  <c:v>16992831.199999999</c:v>
                </c:pt>
                <c:pt idx="5">
                  <c:v>23292831.199999999</c:v>
                </c:pt>
                <c:pt idx="6">
                  <c:v>31492831.199999999</c:v>
                </c:pt>
                <c:pt idx="7">
                  <c:v>38692831.200000003</c:v>
                </c:pt>
                <c:pt idx="8">
                  <c:v>40192831.200000003</c:v>
                </c:pt>
                <c:pt idx="9">
                  <c:v>30392831.200000003</c:v>
                </c:pt>
                <c:pt idx="10">
                  <c:v>23392831.200000003</c:v>
                </c:pt>
                <c:pt idx="11">
                  <c:v>15392831.200000003</c:v>
                </c:pt>
                <c:pt idx="12">
                  <c:v>9592831.200000003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5-4D20-8C23-5F30160EC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8515814"/>
        <c:axId val="1909954357"/>
      </c:lineChart>
      <c:catAx>
        <c:axId val="16585158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909954357"/>
        <c:crosses val="autoZero"/>
        <c:auto val="1"/>
        <c:lblAlgn val="ctr"/>
        <c:lblOffset val="100"/>
        <c:noMultiLvlLbl val="1"/>
      </c:catAx>
      <c:valAx>
        <c:axId val="19099543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65851581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nl-N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'Fin Plan 4.7M'!$A$15</c:f>
              <c:strCache>
                <c:ptCount val="1"/>
                <c:pt idx="0">
                  <c:v>Jaarlijkse leasing</c:v>
                </c:pt>
              </c:strCache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'Fin Plan 4.7M'!$B$11:$P$11</c:f>
              <c:strCache>
                <c:ptCount val="15"/>
                <c:pt idx="0">
                  <c:v>Totalen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</c:strCache>
            </c:strRef>
          </c:cat>
          <c:val>
            <c:numRef>
              <c:f>'Fin Plan 4.7M'!$B$15:$P$15</c:f>
              <c:numCache>
                <c:formatCode>[$€-2]\ #,##0.00</c:formatCode>
                <c:ptCount val="15"/>
                <c:pt idx="1">
                  <c:v>-4700000</c:v>
                </c:pt>
                <c:pt idx="2">
                  <c:v>-6580000</c:v>
                </c:pt>
                <c:pt idx="3">
                  <c:v>-9212000</c:v>
                </c:pt>
                <c:pt idx="4">
                  <c:v>-12896800</c:v>
                </c:pt>
                <c:pt idx="5">
                  <c:v>-18055520</c:v>
                </c:pt>
                <c:pt idx="6">
                  <c:v>-25000000</c:v>
                </c:pt>
                <c:pt idx="7">
                  <c:v>-25000000</c:v>
                </c:pt>
                <c:pt idx="8">
                  <c:v>-25000000</c:v>
                </c:pt>
                <c:pt idx="9">
                  <c:v>-25000000</c:v>
                </c:pt>
                <c:pt idx="10">
                  <c:v>-25000000</c:v>
                </c:pt>
                <c:pt idx="11">
                  <c:v>-25000000</c:v>
                </c:pt>
                <c:pt idx="12">
                  <c:v>-25000000</c:v>
                </c:pt>
                <c:pt idx="13">
                  <c:v>-25000000</c:v>
                </c:pt>
                <c:pt idx="14">
                  <c:v>-25000000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2-42F1-B55E-684CCCA76935}"/>
            </c:ext>
          </c:extLst>
        </c:ser>
        <c:ser>
          <c:idx val="1"/>
          <c:order val="1"/>
          <c:tx>
            <c:strRef>
              <c:f>'Fin Plan 4.7M'!$A$52</c:f>
              <c:strCache>
                <c:ptCount val="1"/>
                <c:pt idx="0">
                  <c:v>ARR (jaarlijkse inkomst)</c:v>
                </c:pt>
              </c:strCache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cat>
            <c:strRef>
              <c:f>'Fin Plan 4.7M'!$B$11:$P$11</c:f>
              <c:strCache>
                <c:ptCount val="15"/>
                <c:pt idx="0">
                  <c:v>Totalen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</c:strCache>
            </c:strRef>
          </c:cat>
          <c:val>
            <c:numRef>
              <c:f>'Fin Plan 4.7M'!$B$52:$P$52</c:f>
              <c:numCache>
                <c:formatCode>[$€-2]\ #,##0.00</c:formatCode>
                <c:ptCount val="15"/>
                <c:pt idx="1">
                  <c:v>1222000</c:v>
                </c:pt>
                <c:pt idx="2">
                  <c:v>2932800</c:v>
                </c:pt>
                <c:pt idx="3">
                  <c:v>5327920</c:v>
                </c:pt>
                <c:pt idx="4">
                  <c:v>8681088</c:v>
                </c:pt>
                <c:pt idx="5">
                  <c:v>13375523.199999999</c:v>
                </c:pt>
                <c:pt idx="6">
                  <c:v>19172873.199999999</c:v>
                </c:pt>
                <c:pt idx="7">
                  <c:v>24169813.199999999</c:v>
                </c:pt>
                <c:pt idx="8">
                  <c:v>28565529.199999999</c:v>
                </c:pt>
                <c:pt idx="9">
                  <c:v>31819531.600000001</c:v>
                </c:pt>
                <c:pt idx="10">
                  <c:v>33895134.960000001</c:v>
                </c:pt>
                <c:pt idx="11">
                  <c:v>34362500</c:v>
                </c:pt>
                <c:pt idx="12">
                  <c:v>34062500</c:v>
                </c:pt>
                <c:pt idx="13">
                  <c:v>33762500</c:v>
                </c:pt>
                <c:pt idx="14">
                  <c:v>33635000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2-42F1-B55E-684CCCA76935}"/>
            </c:ext>
          </c:extLst>
        </c:ser>
        <c:ser>
          <c:idx val="2"/>
          <c:order val="2"/>
          <c:tx>
            <c:strRef>
              <c:f>'Fin Plan 4.7M'!$A$57</c:f>
              <c:strCache>
                <c:ptCount val="1"/>
                <c:pt idx="0">
                  <c:v>Gecummuleerde winst</c:v>
                </c:pt>
              </c:strCache>
            </c:strRef>
          </c:tx>
          <c:spPr>
            <a:ln cmpd="sng">
              <a:solidFill>
                <a:srgbClr val="FBBC04"/>
              </a:solidFill>
            </a:ln>
          </c:spPr>
          <c:marker>
            <c:symbol val="none"/>
          </c:marker>
          <c:cat>
            <c:strRef>
              <c:f>'Fin Plan 4.7M'!$B$11:$P$11</c:f>
              <c:strCache>
                <c:ptCount val="15"/>
                <c:pt idx="0">
                  <c:v>Totalen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</c:strCache>
            </c:strRef>
          </c:cat>
          <c:val>
            <c:numRef>
              <c:f>'Fin Plan 4.7M'!$B$57:$P$57</c:f>
              <c:numCache>
                <c:formatCode>[$€-2]\ #,##0.00</c:formatCode>
                <c:ptCount val="15"/>
                <c:pt idx="1">
                  <c:v>-105750</c:v>
                </c:pt>
                <c:pt idx="2">
                  <c:v>36208.799999999814</c:v>
                </c:pt>
                <c:pt idx="3">
                  <c:v>380361.59999999963</c:v>
                </c:pt>
                <c:pt idx="4">
                  <c:v>1073941.7280000001</c:v>
                </c:pt>
                <c:pt idx="5">
                  <c:v>2356781.8560000006</c:v>
                </c:pt>
                <c:pt idx="6">
                  <c:v>4728721.1839999985</c:v>
                </c:pt>
                <c:pt idx="7">
                  <c:v>7981600.5119999964</c:v>
                </c:pt>
                <c:pt idx="8">
                  <c:v>12382595.839999994</c:v>
                </c:pt>
                <c:pt idx="9">
                  <c:v>18204953.567999996</c:v>
                </c:pt>
                <c:pt idx="10">
                  <c:v>25134018.655999996</c:v>
                </c:pt>
                <c:pt idx="11">
                  <c:v>33010448.783999994</c:v>
                </c:pt>
                <c:pt idx="12">
                  <c:v>40934878.911999993</c:v>
                </c:pt>
                <c:pt idx="13">
                  <c:v>49134878.911999993</c:v>
                </c:pt>
                <c:pt idx="14">
                  <c:v>57207378.911999993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2-42F1-B55E-684CCCA76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85307"/>
        <c:axId val="1216041524"/>
      </c:lineChart>
      <c:catAx>
        <c:axId val="2336853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1216041524"/>
        <c:crosses val="autoZero"/>
        <c:auto val="1"/>
        <c:lblAlgn val="ctr"/>
        <c:lblOffset val="100"/>
        <c:noMultiLvlLbl val="1"/>
      </c:catAx>
      <c:valAx>
        <c:axId val="12160415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nl-NL"/>
          </a:p>
        </c:txPr>
        <c:crossAx val="23368530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nl-N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66</xdr:row>
      <xdr:rowOff>190500</xdr:rowOff>
    </xdr:from>
    <xdr:ext cx="6229350" cy="3857625"/>
    <xdr:graphicFrame macro="">
      <xdr:nvGraphicFramePr>
        <xdr:cNvPr id="2" name="Chart 1" title="Dia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822325</xdr:colOff>
      <xdr:row>67</xdr:row>
      <xdr:rowOff>0</xdr:rowOff>
    </xdr:from>
    <xdr:ext cx="6172200" cy="3819525"/>
    <xdr:graphicFrame macro="">
      <xdr:nvGraphicFramePr>
        <xdr:cNvPr id="3" name="Chart 2" title="Diagra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993775</xdr:colOff>
      <xdr:row>67</xdr:row>
      <xdr:rowOff>76200</xdr:rowOff>
    </xdr:from>
    <xdr:ext cx="7200900" cy="3686175"/>
    <xdr:pic>
      <xdr:nvPicPr>
        <xdr:cNvPr id="1671498027" name="Chart3" title="Diagram">
          <a:extLst>
            <a:ext uri="{FF2B5EF4-FFF2-40B4-BE49-F238E27FC236}">
              <a16:creationId xmlns:a16="http://schemas.microsoft.com/office/drawing/2014/main" id="{00000000-0008-0000-0000-00002B09A163}"/>
            </a:ext>
            <a:ext uri="GoogleSheetsCustomDataVersion1">
              <go:sheetsCustomData xmlns="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 xmlns:go="http://customooxmlschemas.google.com/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595225" y="10344150"/>
          <a:ext cx="7200900" cy="3686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53"/>
  <sheetViews>
    <sheetView tabSelected="1" topLeftCell="A4" workbookViewId="0">
      <selection activeCell="D27" sqref="D27"/>
    </sheetView>
  </sheetViews>
  <sheetFormatPr defaultColWidth="12.6328125" defaultRowHeight="15.75" customHeight="1" x14ac:dyDescent="0.25"/>
  <cols>
    <col min="1" max="1" width="21.7265625" customWidth="1"/>
    <col min="2" max="2" width="14.453125" customWidth="1"/>
    <col min="3" max="4" width="13.7265625" bestFit="1" customWidth="1"/>
    <col min="5" max="5" width="14.08984375" bestFit="1" customWidth="1"/>
    <col min="6" max="19" width="14.7265625" bestFit="1" customWidth="1"/>
    <col min="20" max="21" width="14.08984375" bestFit="1" customWidth="1"/>
  </cols>
  <sheetData>
    <row r="1" spans="1:26" ht="13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" x14ac:dyDescent="0.3">
      <c r="A2" s="1" t="s">
        <v>1</v>
      </c>
      <c r="B2" s="2">
        <v>1.3</v>
      </c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" x14ac:dyDescent="0.3">
      <c r="A3" s="1" t="s">
        <v>3</v>
      </c>
      <c r="B3" s="4">
        <v>1.2500000000000001E-2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" x14ac:dyDescent="0.3">
      <c r="A4" s="1" t="s">
        <v>4</v>
      </c>
      <c r="B4" s="5">
        <v>0.06</v>
      </c>
      <c r="C4" s="2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 x14ac:dyDescent="0.3">
      <c r="A5" s="1" t="s">
        <v>5</v>
      </c>
      <c r="B5" s="2">
        <v>5</v>
      </c>
      <c r="C5" s="2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" x14ac:dyDescent="0.3">
      <c r="A6" s="1" t="s">
        <v>6</v>
      </c>
      <c r="B6" s="6">
        <v>0.1</v>
      </c>
      <c r="C6" s="2" t="s">
        <v>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" x14ac:dyDescent="0.3">
      <c r="A7" s="1" t="s">
        <v>7</v>
      </c>
      <c r="B7" s="6">
        <v>0.65</v>
      </c>
      <c r="C7" s="2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" x14ac:dyDescent="0.3">
      <c r="A8" s="1" t="s">
        <v>8</v>
      </c>
      <c r="B8" s="6">
        <v>0.02</v>
      </c>
      <c r="C8" s="2" t="s">
        <v>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" x14ac:dyDescent="0.3">
      <c r="A9" s="1" t="s">
        <v>9</v>
      </c>
      <c r="B9" s="6">
        <v>0.01</v>
      </c>
      <c r="C9" s="2" t="s">
        <v>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" x14ac:dyDescent="0.3">
      <c r="A11" s="1" t="s">
        <v>10</v>
      </c>
      <c r="B11" s="1" t="s">
        <v>11</v>
      </c>
      <c r="C11" s="1">
        <v>2026</v>
      </c>
      <c r="D11" s="1">
        <v>2027</v>
      </c>
      <c r="E11" s="1">
        <v>2028</v>
      </c>
      <c r="F11" s="1">
        <v>2029</v>
      </c>
      <c r="G11" s="1">
        <v>2030</v>
      </c>
      <c r="H11" s="1">
        <v>2031</v>
      </c>
      <c r="I11" s="1">
        <v>2032</v>
      </c>
      <c r="J11" s="1">
        <v>2033</v>
      </c>
      <c r="K11" s="1">
        <v>2034</v>
      </c>
      <c r="L11" s="1">
        <v>2035</v>
      </c>
      <c r="M11" s="1">
        <v>2036</v>
      </c>
      <c r="N11" s="1">
        <v>2037</v>
      </c>
      <c r="O11" s="1">
        <v>2038</v>
      </c>
      <c r="P11" s="1">
        <v>2039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5" x14ac:dyDescent="0.25">
      <c r="A12" s="2" t="s">
        <v>12</v>
      </c>
      <c r="B12" s="2"/>
      <c r="C12" s="7">
        <v>1700000</v>
      </c>
      <c r="D12" s="7"/>
      <c r="E12" s="7"/>
      <c r="F12" s="7"/>
      <c r="G12" s="7"/>
      <c r="H12" s="7"/>
      <c r="I12" s="7"/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5" x14ac:dyDescent="0.25">
      <c r="A13" s="2"/>
      <c r="B13" s="2"/>
      <c r="C13" s="7"/>
      <c r="D13" s="7"/>
      <c r="E13" s="7"/>
      <c r="F13" s="7"/>
      <c r="G13" s="7"/>
      <c r="H13" s="7"/>
      <c r="I13" s="7"/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" x14ac:dyDescent="0.3">
      <c r="A14" s="1" t="s">
        <v>13</v>
      </c>
      <c r="B14" s="2"/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" x14ac:dyDescent="0.3">
      <c r="A15" s="1" t="s">
        <v>41</v>
      </c>
      <c r="B15" s="1"/>
      <c r="C15" s="8">
        <v>-4700000</v>
      </c>
      <c r="D15" s="8">
        <f t="shared" ref="D15:G15" si="0">C15*1.4</f>
        <v>-6580000</v>
      </c>
      <c r="E15" s="8">
        <f t="shared" si="0"/>
        <v>-9212000</v>
      </c>
      <c r="F15" s="8">
        <f t="shared" si="0"/>
        <v>-12896800</v>
      </c>
      <c r="G15" s="8">
        <f t="shared" si="0"/>
        <v>-18055520</v>
      </c>
      <c r="H15" s="8">
        <v>-25000000</v>
      </c>
      <c r="I15" s="8">
        <v>-25000000</v>
      </c>
      <c r="J15" s="8">
        <v>-25000000</v>
      </c>
      <c r="K15" s="8">
        <v>-25000000</v>
      </c>
      <c r="L15" s="8">
        <v>-25000000</v>
      </c>
      <c r="M15" s="8">
        <v>-25000000</v>
      </c>
      <c r="N15" s="8">
        <v>-25000000</v>
      </c>
      <c r="O15" s="8">
        <v>-25000000</v>
      </c>
      <c r="P15" s="8">
        <v>-25000000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5" x14ac:dyDescent="0.25">
      <c r="A16" s="2" t="s">
        <v>14</v>
      </c>
      <c r="B16" s="2"/>
      <c r="C16" s="7">
        <f>C$15/B$5</f>
        <v>-940000</v>
      </c>
      <c r="D16" s="7">
        <f>C$15/B$5</f>
        <v>-940000</v>
      </c>
      <c r="E16" s="7">
        <f>C$15/B$5</f>
        <v>-940000</v>
      </c>
      <c r="F16" s="7">
        <f>C$15/B$5</f>
        <v>-940000</v>
      </c>
      <c r="G16" s="7">
        <f>C$15/5</f>
        <v>-940000</v>
      </c>
      <c r="H16" s="7"/>
      <c r="I16" s="7"/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5" x14ac:dyDescent="0.25">
      <c r="A17" s="2" t="s">
        <v>15</v>
      </c>
      <c r="B17" s="2"/>
      <c r="C17" s="7"/>
      <c r="D17" s="7">
        <f>D$15/5</f>
        <v>-1316000</v>
      </c>
      <c r="E17" s="7">
        <f>D$15/5</f>
        <v>-1316000</v>
      </c>
      <c r="F17" s="7">
        <f>D$15/5</f>
        <v>-1316000</v>
      </c>
      <c r="G17" s="7">
        <f>D$15/5</f>
        <v>-1316000</v>
      </c>
      <c r="H17" s="7">
        <f>D$15/5</f>
        <v>-1316000</v>
      </c>
      <c r="I17" s="7"/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5" x14ac:dyDescent="0.25">
      <c r="A18" s="2" t="s">
        <v>16</v>
      </c>
      <c r="B18" s="2"/>
      <c r="C18" s="7"/>
      <c r="D18" s="7"/>
      <c r="E18" s="7">
        <f>E$15/5</f>
        <v>-1842400</v>
      </c>
      <c r="F18" s="7">
        <f>E$15/5</f>
        <v>-1842400</v>
      </c>
      <c r="G18" s="7">
        <f>E$15/5</f>
        <v>-1842400</v>
      </c>
      <c r="H18" s="7">
        <f>E$15/5</f>
        <v>-1842400</v>
      </c>
      <c r="I18" s="7">
        <f>E$15/5</f>
        <v>-1842400</v>
      </c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5" x14ac:dyDescent="0.25">
      <c r="A19" s="2" t="s">
        <v>17</v>
      </c>
      <c r="B19" s="2"/>
      <c r="C19" s="7"/>
      <c r="D19" s="7"/>
      <c r="E19" s="7"/>
      <c r="F19" s="7">
        <f>F$15/5</f>
        <v>-2579360</v>
      </c>
      <c r="G19" s="7">
        <f>F$15/5</f>
        <v>-2579360</v>
      </c>
      <c r="H19" s="7">
        <f>F$15/5</f>
        <v>-2579360</v>
      </c>
      <c r="I19" s="7">
        <f>F$15/5</f>
        <v>-2579360</v>
      </c>
      <c r="J19" s="7">
        <f>F$15/5</f>
        <v>-2579360</v>
      </c>
      <c r="K19" s="7"/>
      <c r="L19" s="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5" x14ac:dyDescent="0.25">
      <c r="A20" s="2" t="s">
        <v>18</v>
      </c>
      <c r="B20" s="2"/>
      <c r="C20" s="7"/>
      <c r="D20" s="7"/>
      <c r="E20" s="7"/>
      <c r="F20" s="7"/>
      <c r="G20" s="7">
        <f>G$15/5</f>
        <v>-3611104</v>
      </c>
      <c r="H20" s="7">
        <f>G$15/5</f>
        <v>-3611104</v>
      </c>
      <c r="I20" s="7">
        <f>G$15/5</f>
        <v>-3611104</v>
      </c>
      <c r="J20" s="7">
        <f>G$15/5</f>
        <v>-3611104</v>
      </c>
      <c r="K20" s="7">
        <f>G$15/5</f>
        <v>-3611104</v>
      </c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5" x14ac:dyDescent="0.25">
      <c r="A21" s="2" t="s">
        <v>19</v>
      </c>
      <c r="B21" s="2"/>
      <c r="C21" s="7"/>
      <c r="D21" s="7"/>
      <c r="E21" s="7"/>
      <c r="F21" s="7"/>
      <c r="G21" s="7"/>
      <c r="H21" s="7">
        <f>H$15/5</f>
        <v>-5000000</v>
      </c>
      <c r="I21" s="7">
        <f>H$15/5</f>
        <v>-5000000</v>
      </c>
      <c r="J21" s="7">
        <f>H$15/5</f>
        <v>-5000000</v>
      </c>
      <c r="K21" s="7">
        <f>H$15/5</f>
        <v>-5000000</v>
      </c>
      <c r="L21" s="7">
        <f>H$15/5</f>
        <v>-5000000</v>
      </c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5" x14ac:dyDescent="0.25">
      <c r="A22" s="2" t="s">
        <v>20</v>
      </c>
      <c r="B22" s="2"/>
      <c r="C22" s="7"/>
      <c r="D22" s="7"/>
      <c r="E22" s="7"/>
      <c r="F22" s="7"/>
      <c r="G22" s="7"/>
      <c r="H22" s="7"/>
      <c r="I22" s="7">
        <f>I$15/5</f>
        <v>-5000000</v>
      </c>
      <c r="J22" s="7">
        <f>I$15/5</f>
        <v>-5000000</v>
      </c>
      <c r="K22" s="7">
        <f>I$15/5</f>
        <v>-5000000</v>
      </c>
      <c r="L22" s="7">
        <f>I$15/5</f>
        <v>-5000000</v>
      </c>
      <c r="M22" s="7">
        <f>I$15/5</f>
        <v>-5000000</v>
      </c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5" x14ac:dyDescent="0.25">
      <c r="A23" s="2" t="s">
        <v>21</v>
      </c>
      <c r="B23" s="2"/>
      <c r="C23" s="7"/>
      <c r="D23" s="7"/>
      <c r="E23" s="7"/>
      <c r="F23" s="7"/>
      <c r="G23" s="7"/>
      <c r="H23" s="7"/>
      <c r="I23" s="7"/>
      <c r="J23" s="7">
        <f>J$15/5</f>
        <v>-5000000</v>
      </c>
      <c r="K23" s="7">
        <f>J$15/5</f>
        <v>-5000000</v>
      </c>
      <c r="L23" s="7">
        <f>J$15/5</f>
        <v>-5000000</v>
      </c>
      <c r="M23" s="7">
        <f>J$15/5</f>
        <v>-5000000</v>
      </c>
      <c r="N23" s="7">
        <f>J$15/5</f>
        <v>-5000000</v>
      </c>
      <c r="O23" s="7"/>
      <c r="P23" s="7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5" x14ac:dyDescent="0.25">
      <c r="A24" s="2" t="s">
        <v>22</v>
      </c>
      <c r="B24" s="2"/>
      <c r="C24" s="7"/>
      <c r="D24" s="7"/>
      <c r="E24" s="7"/>
      <c r="F24" s="7"/>
      <c r="G24" s="7"/>
      <c r="H24" s="7"/>
      <c r="I24" s="7"/>
      <c r="J24" s="7"/>
      <c r="K24" s="7">
        <f>K$15/5</f>
        <v>-5000000</v>
      </c>
      <c r="L24" s="7">
        <f>K$15/5</f>
        <v>-5000000</v>
      </c>
      <c r="M24" s="7">
        <f>K$15/5</f>
        <v>-5000000</v>
      </c>
      <c r="N24" s="7">
        <f>K$15/5</f>
        <v>-5000000</v>
      </c>
      <c r="O24" s="7">
        <f>K$15/5</f>
        <v>-5000000</v>
      </c>
      <c r="P24" s="7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" x14ac:dyDescent="0.3">
      <c r="A25" s="2" t="s">
        <v>23</v>
      </c>
      <c r="B25" s="1"/>
      <c r="C25" s="8"/>
      <c r="D25" s="8"/>
      <c r="E25" s="8"/>
      <c r="F25" s="8"/>
      <c r="G25" s="8"/>
      <c r="H25" s="8"/>
      <c r="I25" s="8"/>
      <c r="J25" s="8"/>
      <c r="K25" s="8"/>
      <c r="L25" s="7">
        <f>L$15/5</f>
        <v>-5000000</v>
      </c>
      <c r="M25" s="7">
        <f>L$15/5</f>
        <v>-5000000</v>
      </c>
      <c r="N25" s="7">
        <f>L$15/5</f>
        <v>-5000000</v>
      </c>
      <c r="O25" s="7">
        <f>L$15/5</f>
        <v>-5000000</v>
      </c>
      <c r="P25" s="7">
        <f>L$15/5</f>
        <v>-5000000</v>
      </c>
      <c r="Q25" s="7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3">
      <c r="A26" s="2" t="s">
        <v>24</v>
      </c>
      <c r="B26" s="1"/>
      <c r="C26" s="8"/>
      <c r="D26" s="8"/>
      <c r="E26" s="8"/>
      <c r="F26" s="8"/>
      <c r="G26" s="8"/>
      <c r="H26" s="8"/>
      <c r="I26" s="8"/>
      <c r="J26" s="8"/>
      <c r="K26" s="8"/>
      <c r="L26" s="8"/>
      <c r="M26" s="7">
        <f>M$15/5</f>
        <v>-5000000</v>
      </c>
      <c r="N26" s="7">
        <f>M$15/5</f>
        <v>-5000000</v>
      </c>
      <c r="O26" s="7">
        <f>M$15/5</f>
        <v>-5000000</v>
      </c>
      <c r="P26" s="7">
        <f>M$15/5</f>
        <v>-5000000</v>
      </c>
      <c r="Q26" s="7">
        <f>M$15/5</f>
        <v>-5000000</v>
      </c>
      <c r="R26" s="7"/>
      <c r="S26" s="1"/>
      <c r="T26" s="1"/>
      <c r="U26" s="1"/>
      <c r="V26" s="1"/>
      <c r="W26" s="1"/>
      <c r="X26" s="1"/>
      <c r="Y26" s="1"/>
      <c r="Z26" s="1"/>
    </row>
    <row r="27" spans="1:26" ht="13" x14ac:dyDescent="0.3">
      <c r="A27" s="2" t="s">
        <v>25</v>
      </c>
      <c r="B27" s="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7">
        <f>N$15/5</f>
        <v>-5000000</v>
      </c>
      <c r="O27" s="7">
        <f>N$15/5</f>
        <v>-5000000</v>
      </c>
      <c r="P27" s="7">
        <f>N$15/5</f>
        <v>-5000000</v>
      </c>
      <c r="Q27" s="7">
        <f>N$15/5</f>
        <v>-5000000</v>
      </c>
      <c r="R27" s="7">
        <f>N$15/5</f>
        <v>-5000000</v>
      </c>
      <c r="S27" s="7"/>
      <c r="T27" s="1"/>
      <c r="U27" s="1"/>
      <c r="V27" s="1"/>
      <c r="W27" s="1"/>
      <c r="X27" s="1"/>
      <c r="Y27" s="1"/>
      <c r="Z27" s="1"/>
    </row>
    <row r="28" spans="1:26" ht="13" x14ac:dyDescent="0.3">
      <c r="A28" s="2" t="s">
        <v>26</v>
      </c>
      <c r="B28" s="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7">
        <f>O$15/5</f>
        <v>-5000000</v>
      </c>
      <c r="P28" s="7">
        <f>O$15/5</f>
        <v>-5000000</v>
      </c>
      <c r="Q28" s="7">
        <f>O$15/5</f>
        <v>-5000000</v>
      </c>
      <c r="R28" s="7">
        <f>O$15/5</f>
        <v>-5000000</v>
      </c>
      <c r="S28" s="7">
        <f>O$15/5</f>
        <v>-5000000</v>
      </c>
      <c r="T28" s="7"/>
      <c r="U28" s="1"/>
      <c r="V28" s="1"/>
      <c r="W28" s="1"/>
      <c r="X28" s="1"/>
      <c r="Y28" s="1"/>
      <c r="Z28" s="1"/>
    </row>
    <row r="29" spans="1:26" ht="13" x14ac:dyDescent="0.3">
      <c r="A29" s="2" t="s">
        <v>27</v>
      </c>
      <c r="B29" s="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>
        <f>P$15/5</f>
        <v>-5000000</v>
      </c>
      <c r="Q29" s="7">
        <f>P$15/5</f>
        <v>-5000000</v>
      </c>
      <c r="R29" s="7">
        <f>P$15/5</f>
        <v>-5000000</v>
      </c>
      <c r="S29" s="7">
        <f>P$15/5</f>
        <v>-5000000</v>
      </c>
      <c r="T29" s="7">
        <f>P$15/5</f>
        <v>-5000000</v>
      </c>
      <c r="U29" s="7"/>
      <c r="V29" s="1"/>
      <c r="W29" s="1"/>
      <c r="X29" s="1"/>
      <c r="Y29" s="1"/>
      <c r="Z29" s="1"/>
    </row>
    <row r="30" spans="1:26" ht="12.5" x14ac:dyDescent="0.25">
      <c r="A30" s="2" t="s">
        <v>28</v>
      </c>
      <c r="B30" s="2"/>
      <c r="C30" s="7">
        <f t="shared" ref="C30:U30" si="1">SUM(C16:C29)</f>
        <v>-940000</v>
      </c>
      <c r="D30" s="7">
        <f t="shared" si="1"/>
        <v>-2256000</v>
      </c>
      <c r="E30" s="7">
        <f t="shared" si="1"/>
        <v>-4098400</v>
      </c>
      <c r="F30" s="7">
        <f t="shared" si="1"/>
        <v>-6677760</v>
      </c>
      <c r="G30" s="7">
        <f t="shared" si="1"/>
        <v>-10288864</v>
      </c>
      <c r="H30" s="7">
        <f t="shared" si="1"/>
        <v>-14348864</v>
      </c>
      <c r="I30" s="7">
        <f t="shared" si="1"/>
        <v>-18032864</v>
      </c>
      <c r="J30" s="7">
        <f t="shared" si="1"/>
        <v>-21190464</v>
      </c>
      <c r="K30" s="7">
        <f t="shared" si="1"/>
        <v>-23611104</v>
      </c>
      <c r="L30" s="7">
        <f t="shared" si="1"/>
        <v>-25000000</v>
      </c>
      <c r="M30" s="7">
        <f t="shared" si="1"/>
        <v>-25000000</v>
      </c>
      <c r="N30" s="7">
        <f t="shared" si="1"/>
        <v>-25000000</v>
      </c>
      <c r="O30" s="7">
        <f t="shared" si="1"/>
        <v>-25000000</v>
      </c>
      <c r="P30" s="7">
        <f t="shared" si="1"/>
        <v>-25000000</v>
      </c>
      <c r="Q30" s="7">
        <f t="shared" si="1"/>
        <v>-20000000</v>
      </c>
      <c r="R30" s="7">
        <f t="shared" si="1"/>
        <v>-15000000</v>
      </c>
      <c r="S30" s="7">
        <f t="shared" si="1"/>
        <v>-10000000</v>
      </c>
      <c r="T30" s="7">
        <f t="shared" si="1"/>
        <v>-5000000</v>
      </c>
      <c r="U30" s="7">
        <f t="shared" si="1"/>
        <v>0</v>
      </c>
      <c r="V30" s="2"/>
      <c r="W30" s="2"/>
      <c r="X30" s="2"/>
      <c r="Y30" s="2"/>
      <c r="Z30" s="2"/>
    </row>
    <row r="31" spans="1:26" ht="12.5" x14ac:dyDescent="0.25">
      <c r="A31" s="2"/>
      <c r="B31" s="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5" x14ac:dyDescent="0.25">
      <c r="A32" s="2" t="s">
        <v>29</v>
      </c>
      <c r="B32" s="2"/>
      <c r="C32" s="7">
        <f t="shared" ref="C32:U32" si="2">($B$3+$B$9)*C15</f>
        <v>-105750</v>
      </c>
      <c r="D32" s="7">
        <f t="shared" si="2"/>
        <v>-148050</v>
      </c>
      <c r="E32" s="7">
        <f t="shared" si="2"/>
        <v>-207270</v>
      </c>
      <c r="F32" s="7">
        <f t="shared" si="2"/>
        <v>-290178</v>
      </c>
      <c r="G32" s="7">
        <f t="shared" si="2"/>
        <v>-406249.2</v>
      </c>
      <c r="H32" s="7">
        <f t="shared" si="2"/>
        <v>-562500</v>
      </c>
      <c r="I32" s="7">
        <f t="shared" si="2"/>
        <v>-562500</v>
      </c>
      <c r="J32" s="7">
        <f t="shared" si="2"/>
        <v>-562500</v>
      </c>
      <c r="K32" s="7">
        <f t="shared" si="2"/>
        <v>-562500</v>
      </c>
      <c r="L32" s="7">
        <f t="shared" si="2"/>
        <v>-562500</v>
      </c>
      <c r="M32" s="7">
        <f t="shared" si="2"/>
        <v>-562500</v>
      </c>
      <c r="N32" s="7">
        <f t="shared" si="2"/>
        <v>-562500</v>
      </c>
      <c r="O32" s="7">
        <f t="shared" si="2"/>
        <v>-562500</v>
      </c>
      <c r="P32" s="7">
        <f t="shared" si="2"/>
        <v>-562500</v>
      </c>
      <c r="Q32" s="7">
        <f t="shared" si="2"/>
        <v>0</v>
      </c>
      <c r="R32" s="7">
        <f t="shared" si="2"/>
        <v>0</v>
      </c>
      <c r="S32" s="7">
        <f t="shared" si="2"/>
        <v>0</v>
      </c>
      <c r="T32" s="7">
        <f t="shared" si="2"/>
        <v>0</v>
      </c>
      <c r="U32" s="7">
        <f t="shared" si="2"/>
        <v>0</v>
      </c>
      <c r="V32" s="2"/>
      <c r="W32" s="2"/>
      <c r="X32" s="2"/>
      <c r="Y32" s="2"/>
      <c r="Z32" s="2"/>
    </row>
    <row r="33" spans="1:26" ht="12.5" x14ac:dyDescent="0.25">
      <c r="A33" s="2" t="s">
        <v>30</v>
      </c>
      <c r="B33" s="2"/>
      <c r="C33" s="7">
        <f>-$B$4*-(C15)</f>
        <v>-282000</v>
      </c>
      <c r="D33" s="7">
        <f t="shared" ref="D33:U33" si="3">-$B$4*(D62)</f>
        <v>-386791.2</v>
      </c>
      <c r="E33" s="7">
        <f t="shared" si="3"/>
        <v>-678097.2</v>
      </c>
      <c r="F33" s="7">
        <f t="shared" si="3"/>
        <v>-1019569.872</v>
      </c>
      <c r="G33" s="7">
        <f t="shared" si="3"/>
        <v>-1397569.872</v>
      </c>
      <c r="H33" s="7">
        <f t="shared" si="3"/>
        <v>-1889569.872</v>
      </c>
      <c r="I33" s="7">
        <f t="shared" si="3"/>
        <v>-2321569.872</v>
      </c>
      <c r="J33" s="7">
        <f t="shared" si="3"/>
        <v>-2411569.872</v>
      </c>
      <c r="K33" s="7">
        <f t="shared" si="3"/>
        <v>-1823569.8720000002</v>
      </c>
      <c r="L33" s="7">
        <f t="shared" si="3"/>
        <v>-1403569.8720000002</v>
      </c>
      <c r="M33" s="7">
        <f t="shared" si="3"/>
        <v>-923569.87200000009</v>
      </c>
      <c r="N33" s="7">
        <f t="shared" si="3"/>
        <v>-575569.87200000021</v>
      </c>
      <c r="O33" s="7">
        <f t="shared" si="3"/>
        <v>0</v>
      </c>
      <c r="P33" s="7">
        <f t="shared" si="3"/>
        <v>0</v>
      </c>
      <c r="Q33" s="7">
        <f t="shared" si="3"/>
        <v>0</v>
      </c>
      <c r="R33" s="7">
        <f t="shared" si="3"/>
        <v>0</v>
      </c>
      <c r="S33" s="7">
        <f t="shared" si="3"/>
        <v>0</v>
      </c>
      <c r="T33" s="7">
        <f t="shared" si="3"/>
        <v>0</v>
      </c>
      <c r="U33" s="7">
        <f t="shared" si="3"/>
        <v>0</v>
      </c>
      <c r="V33" s="2"/>
      <c r="W33" s="2"/>
      <c r="X33" s="2"/>
      <c r="Y33" s="2"/>
      <c r="Z33" s="2"/>
    </row>
    <row r="34" spans="1:26" ht="13" x14ac:dyDescent="0.3">
      <c r="A34" s="2" t="s">
        <v>31</v>
      </c>
      <c r="B34" s="2"/>
      <c r="C34" s="8">
        <f t="shared" ref="C34:U34" si="4">SUM(C30:C33)</f>
        <v>-1327750</v>
      </c>
      <c r="D34" s="8">
        <f t="shared" si="4"/>
        <v>-2790841.2</v>
      </c>
      <c r="E34" s="8">
        <f t="shared" si="4"/>
        <v>-4983767.2</v>
      </c>
      <c r="F34" s="8">
        <f t="shared" si="4"/>
        <v>-7987507.8719999995</v>
      </c>
      <c r="G34" s="8">
        <f t="shared" si="4"/>
        <v>-12092683.071999999</v>
      </c>
      <c r="H34" s="8">
        <f t="shared" si="4"/>
        <v>-16800933.872000001</v>
      </c>
      <c r="I34" s="8">
        <f t="shared" si="4"/>
        <v>-20916933.872000001</v>
      </c>
      <c r="J34" s="8">
        <f t="shared" si="4"/>
        <v>-24164533.872000001</v>
      </c>
      <c r="K34" s="8">
        <f t="shared" si="4"/>
        <v>-25997173.872000001</v>
      </c>
      <c r="L34" s="8">
        <f t="shared" si="4"/>
        <v>-26966069.872000001</v>
      </c>
      <c r="M34" s="8">
        <f t="shared" si="4"/>
        <v>-26486069.872000001</v>
      </c>
      <c r="N34" s="8">
        <f t="shared" si="4"/>
        <v>-26138069.872000001</v>
      </c>
      <c r="O34" s="8">
        <f t="shared" si="4"/>
        <v>-25562500</v>
      </c>
      <c r="P34" s="8">
        <f t="shared" si="4"/>
        <v>-25562500</v>
      </c>
      <c r="Q34" s="8">
        <f t="shared" si="4"/>
        <v>-20000000</v>
      </c>
      <c r="R34" s="8">
        <f t="shared" si="4"/>
        <v>-15000000</v>
      </c>
      <c r="S34" s="8">
        <f t="shared" si="4"/>
        <v>-10000000</v>
      </c>
      <c r="T34" s="8">
        <f t="shared" si="4"/>
        <v>-5000000</v>
      </c>
      <c r="U34" s="8">
        <f t="shared" si="4"/>
        <v>0</v>
      </c>
      <c r="V34" s="2"/>
      <c r="W34" s="2"/>
      <c r="X34" s="2"/>
      <c r="Y34" s="2"/>
      <c r="Z34" s="2"/>
    </row>
    <row r="35" spans="1:26" ht="12.5" x14ac:dyDescent="0.25">
      <c r="A35" s="2"/>
      <c r="B35" s="2"/>
      <c r="C35" s="7"/>
      <c r="D35" s="7"/>
      <c r="E35" s="7"/>
      <c r="F35" s="7"/>
      <c r="G35" s="7"/>
      <c r="H35" s="7"/>
      <c r="I35" s="7"/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" x14ac:dyDescent="0.3">
      <c r="A36" s="1" t="s">
        <v>32</v>
      </c>
      <c r="B36" s="2"/>
      <c r="C36" s="7"/>
      <c r="D36" s="7"/>
      <c r="E36" s="7"/>
      <c r="F36" s="7"/>
      <c r="G36" s="7"/>
      <c r="H36" s="7"/>
      <c r="I36" s="7"/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5" x14ac:dyDescent="0.25">
      <c r="A37" s="2" t="s">
        <v>14</v>
      </c>
      <c r="B37" s="2"/>
      <c r="C37" s="7">
        <f t="shared" ref="C37:G37" si="5">-$B$2*$C$15/5</f>
        <v>1222000</v>
      </c>
      <c r="D37" s="7">
        <f t="shared" si="5"/>
        <v>1222000</v>
      </c>
      <c r="E37" s="7">
        <f t="shared" si="5"/>
        <v>1222000</v>
      </c>
      <c r="F37" s="7">
        <f t="shared" si="5"/>
        <v>1222000</v>
      </c>
      <c r="G37" s="7">
        <f t="shared" si="5"/>
        <v>1222000</v>
      </c>
      <c r="H37" s="9">
        <f>($B$6*$B$7)*G37*$B$5+$B$8*G37*$B$5</f>
        <v>519350</v>
      </c>
      <c r="I37" s="7"/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5" x14ac:dyDescent="0.25">
      <c r="A38" s="2" t="s">
        <v>15</v>
      </c>
      <c r="B38" s="2"/>
      <c r="C38" s="7"/>
      <c r="D38" s="7">
        <f t="shared" ref="D38:H38" si="6">-$B$2*$D$15/5</f>
        <v>1710800</v>
      </c>
      <c r="E38" s="7">
        <f t="shared" si="6"/>
        <v>1710800</v>
      </c>
      <c r="F38" s="7">
        <f t="shared" si="6"/>
        <v>1710800</v>
      </c>
      <c r="G38" s="7">
        <f t="shared" si="6"/>
        <v>1710800</v>
      </c>
      <c r="H38" s="7">
        <f t="shared" si="6"/>
        <v>1710800</v>
      </c>
      <c r="I38" s="9">
        <f>($B$6*$B$7)*H38*$B$5+$B$8*H38*$B$5</f>
        <v>727090</v>
      </c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5" x14ac:dyDescent="0.25">
      <c r="A39" s="2" t="s">
        <v>16</v>
      </c>
      <c r="B39" s="2"/>
      <c r="C39" s="7"/>
      <c r="D39" s="7"/>
      <c r="E39" s="7">
        <f t="shared" ref="E39:I39" si="7">-$B$2*$E$15/5</f>
        <v>2395120</v>
      </c>
      <c r="F39" s="7">
        <f t="shared" si="7"/>
        <v>2395120</v>
      </c>
      <c r="G39" s="7">
        <f t="shared" si="7"/>
        <v>2395120</v>
      </c>
      <c r="H39" s="7">
        <f t="shared" si="7"/>
        <v>2395120</v>
      </c>
      <c r="I39" s="7">
        <f t="shared" si="7"/>
        <v>2395120</v>
      </c>
      <c r="J39" s="9">
        <f>($B$6*$B$7)*I39*$B$5+$B$8*I39*$B$5</f>
        <v>1017926.0000000001</v>
      </c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5" x14ac:dyDescent="0.25">
      <c r="A40" s="2" t="s">
        <v>17</v>
      </c>
      <c r="B40" s="2"/>
      <c r="C40" s="7"/>
      <c r="D40" s="7"/>
      <c r="E40" s="7"/>
      <c r="F40" s="7">
        <f t="shared" ref="F40:J40" si="8">-$B$2*$F$15/5</f>
        <v>3353168</v>
      </c>
      <c r="G40" s="7">
        <f t="shared" si="8"/>
        <v>3353168</v>
      </c>
      <c r="H40" s="7">
        <f t="shared" si="8"/>
        <v>3353168</v>
      </c>
      <c r="I40" s="7">
        <f t="shared" si="8"/>
        <v>3353168</v>
      </c>
      <c r="J40" s="7">
        <f t="shared" si="8"/>
        <v>3353168</v>
      </c>
      <c r="K40" s="9">
        <f>($B$6*$B$7)*J40*$B$5+$B$8*J40*$B$5</f>
        <v>1425096.4000000001</v>
      </c>
      <c r="L40" s="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5" x14ac:dyDescent="0.25">
      <c r="A41" s="2" t="s">
        <v>18</v>
      </c>
      <c r="B41" s="2"/>
      <c r="C41" s="7"/>
      <c r="D41" s="7"/>
      <c r="E41" s="7"/>
      <c r="F41" s="7"/>
      <c r="G41" s="7">
        <f t="shared" ref="G41:K41" si="9">-$B$2*$G$15/5</f>
        <v>4694435.2</v>
      </c>
      <c r="H41" s="7">
        <f t="shared" si="9"/>
        <v>4694435.2</v>
      </c>
      <c r="I41" s="7">
        <f t="shared" si="9"/>
        <v>4694435.2</v>
      </c>
      <c r="J41" s="7">
        <f t="shared" si="9"/>
        <v>4694435.2</v>
      </c>
      <c r="K41" s="7">
        <f t="shared" si="9"/>
        <v>4694435.2</v>
      </c>
      <c r="L41" s="9">
        <f>($B$6*$B$7)*K41*$B$5+$B$8*K41*$B$5</f>
        <v>1995134.96</v>
      </c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5" x14ac:dyDescent="0.25">
      <c r="A42" s="2" t="s">
        <v>19</v>
      </c>
      <c r="B42" s="2"/>
      <c r="C42" s="7"/>
      <c r="D42" s="7"/>
      <c r="E42" s="7"/>
      <c r="F42" s="7"/>
      <c r="G42" s="7"/>
      <c r="H42" s="7">
        <f t="shared" ref="H42:L42" si="10">-$B$2*$H$15/5</f>
        <v>6500000</v>
      </c>
      <c r="I42" s="7">
        <f t="shared" si="10"/>
        <v>6500000</v>
      </c>
      <c r="J42" s="7">
        <f t="shared" si="10"/>
        <v>6500000</v>
      </c>
      <c r="K42" s="7">
        <f t="shared" si="10"/>
        <v>6500000</v>
      </c>
      <c r="L42" s="7">
        <f t="shared" si="10"/>
        <v>6500000</v>
      </c>
      <c r="M42" s="9">
        <f>($B$6*$B$7)*L42*$B$5+$B$8*L42*$B$5</f>
        <v>2762500</v>
      </c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5" x14ac:dyDescent="0.25">
      <c r="A43" s="2" t="s">
        <v>20</v>
      </c>
      <c r="B43" s="2"/>
      <c r="C43" s="7"/>
      <c r="D43" s="7"/>
      <c r="E43" s="7"/>
      <c r="F43" s="7"/>
      <c r="G43" s="7"/>
      <c r="H43" s="7"/>
      <c r="I43" s="7">
        <f t="shared" ref="I43:M43" si="11">-$B$2*$I$15/5</f>
        <v>6500000</v>
      </c>
      <c r="J43" s="7">
        <f t="shared" si="11"/>
        <v>6500000</v>
      </c>
      <c r="K43" s="7">
        <f t="shared" si="11"/>
        <v>6500000</v>
      </c>
      <c r="L43" s="7">
        <f t="shared" si="11"/>
        <v>6500000</v>
      </c>
      <c r="M43" s="7">
        <f t="shared" si="11"/>
        <v>6500000</v>
      </c>
      <c r="N43" s="9">
        <f>($B$6*$B$7)*M43*$B$5+$B$8*M43*$B$5</f>
        <v>2762500</v>
      </c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5" x14ac:dyDescent="0.25">
      <c r="A44" s="2" t="s">
        <v>21</v>
      </c>
      <c r="B44" s="2"/>
      <c r="C44" s="7"/>
      <c r="D44" s="7"/>
      <c r="E44" s="7"/>
      <c r="F44" s="7"/>
      <c r="G44" s="7"/>
      <c r="H44" s="7"/>
      <c r="I44" s="7"/>
      <c r="J44" s="7">
        <f t="shared" ref="J44:N44" si="12">-$B$2*$J$15/5</f>
        <v>6500000</v>
      </c>
      <c r="K44" s="7">
        <f t="shared" si="12"/>
        <v>6500000</v>
      </c>
      <c r="L44" s="7">
        <f t="shared" si="12"/>
        <v>6500000</v>
      </c>
      <c r="M44" s="7">
        <f t="shared" si="12"/>
        <v>6500000</v>
      </c>
      <c r="N44" s="7">
        <f t="shared" si="12"/>
        <v>6500000</v>
      </c>
      <c r="O44" s="9">
        <f>($B$6*$B$7)*N44*$B$5+$B$8*N44*$B$5</f>
        <v>2762500</v>
      </c>
      <c r="P44" s="7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5" x14ac:dyDescent="0.25">
      <c r="A45" s="2" t="s">
        <v>22</v>
      </c>
      <c r="B45" s="2"/>
      <c r="C45" s="7"/>
      <c r="D45" s="7"/>
      <c r="E45" s="7"/>
      <c r="F45" s="7"/>
      <c r="G45" s="7"/>
      <c r="H45" s="7"/>
      <c r="I45" s="7"/>
      <c r="J45" s="7"/>
      <c r="K45" s="7">
        <f t="shared" ref="K45:O45" si="13">-1.24*$K$15/5</f>
        <v>6200000</v>
      </c>
      <c r="L45" s="7">
        <f t="shared" si="13"/>
        <v>6200000</v>
      </c>
      <c r="M45" s="7">
        <f t="shared" si="13"/>
        <v>6200000</v>
      </c>
      <c r="N45" s="7">
        <f t="shared" si="13"/>
        <v>6200000</v>
      </c>
      <c r="O45" s="7">
        <f t="shared" si="13"/>
        <v>6200000</v>
      </c>
      <c r="P45" s="9">
        <f>($B$6*$B$7)*O45*$B$5+$B$8*O45*$B$5</f>
        <v>2635000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" x14ac:dyDescent="0.3">
      <c r="A46" s="2" t="s">
        <v>23</v>
      </c>
      <c r="B46" s="1"/>
      <c r="C46" s="8"/>
      <c r="D46" s="8"/>
      <c r="E46" s="8"/>
      <c r="F46" s="8"/>
      <c r="G46" s="8"/>
      <c r="H46" s="8"/>
      <c r="I46" s="8"/>
      <c r="J46" s="8"/>
      <c r="K46" s="8"/>
      <c r="L46" s="7">
        <f t="shared" ref="L46:P46" si="14">-1.24*$L$15/5</f>
        <v>6200000</v>
      </c>
      <c r="M46" s="7">
        <f t="shared" si="14"/>
        <v>6200000</v>
      </c>
      <c r="N46" s="7">
        <f t="shared" si="14"/>
        <v>6200000</v>
      </c>
      <c r="O46" s="7">
        <f t="shared" si="14"/>
        <v>6200000</v>
      </c>
      <c r="P46" s="7">
        <f t="shared" si="14"/>
        <v>6200000</v>
      </c>
      <c r="Q46" s="9">
        <f>($B$6*$B$7)*P46*$B$5+$B$8*P46*$B$5</f>
        <v>2635000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3">
      <c r="A47" s="2" t="s">
        <v>24</v>
      </c>
      <c r="B47" s="1"/>
      <c r="C47" s="8"/>
      <c r="D47" s="8"/>
      <c r="E47" s="8"/>
      <c r="F47" s="8"/>
      <c r="G47" s="8"/>
      <c r="H47" s="8"/>
      <c r="I47" s="8"/>
      <c r="J47" s="8"/>
      <c r="K47" s="8"/>
      <c r="L47" s="8"/>
      <c r="M47" s="7">
        <f t="shared" ref="M47:Q47" si="15">-1.24*$M$15/5</f>
        <v>6200000</v>
      </c>
      <c r="N47" s="7">
        <f t="shared" si="15"/>
        <v>6200000</v>
      </c>
      <c r="O47" s="7">
        <f t="shared" si="15"/>
        <v>6200000</v>
      </c>
      <c r="P47" s="7">
        <f t="shared" si="15"/>
        <v>6200000</v>
      </c>
      <c r="Q47" s="7">
        <f t="shared" si="15"/>
        <v>6200000</v>
      </c>
      <c r="R47" s="9">
        <f>($B$6*$B$7)*Q47*$B$5+$B$8*Q47*$B$5</f>
        <v>2635000</v>
      </c>
      <c r="S47" s="1"/>
      <c r="T47" s="1"/>
      <c r="U47" s="1"/>
      <c r="V47" s="1"/>
      <c r="W47" s="1"/>
      <c r="X47" s="1"/>
      <c r="Y47" s="1"/>
      <c r="Z47" s="1"/>
    </row>
    <row r="48" spans="1:26" ht="13" x14ac:dyDescent="0.3">
      <c r="A48" s="2" t="s">
        <v>25</v>
      </c>
      <c r="B48" s="1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7">
        <f t="shared" ref="N48:R48" si="16">-1.24*$N$15/5</f>
        <v>6200000</v>
      </c>
      <c r="O48" s="7">
        <f t="shared" si="16"/>
        <v>6200000</v>
      </c>
      <c r="P48" s="7">
        <f t="shared" si="16"/>
        <v>6200000</v>
      </c>
      <c r="Q48" s="7">
        <f t="shared" si="16"/>
        <v>6200000</v>
      </c>
      <c r="R48" s="7">
        <f t="shared" si="16"/>
        <v>6200000</v>
      </c>
      <c r="S48" s="9">
        <f>($B$6*$B$7)*R48*$B$5+$B$8*R48*$B$5</f>
        <v>2635000</v>
      </c>
      <c r="T48" s="1"/>
      <c r="U48" s="1"/>
      <c r="V48" s="1"/>
      <c r="W48" s="1"/>
      <c r="X48" s="1"/>
      <c r="Y48" s="1"/>
      <c r="Z48" s="1"/>
    </row>
    <row r="49" spans="1:26" ht="13" x14ac:dyDescent="0.3">
      <c r="A49" s="2" t="s">
        <v>26</v>
      </c>
      <c r="B49" s="1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7">
        <f t="shared" ref="O49:S49" si="17">-1.24*$O$15/5</f>
        <v>6200000</v>
      </c>
      <c r="P49" s="7">
        <f t="shared" si="17"/>
        <v>6200000</v>
      </c>
      <c r="Q49" s="7">
        <f t="shared" si="17"/>
        <v>6200000</v>
      </c>
      <c r="R49" s="7">
        <f t="shared" si="17"/>
        <v>6200000</v>
      </c>
      <c r="S49" s="7">
        <f t="shared" si="17"/>
        <v>6200000</v>
      </c>
      <c r="T49" s="9">
        <f>($B$6*$B$7)*S49*$B$5+$B$8*S49*$B$5</f>
        <v>2635000</v>
      </c>
      <c r="U49" s="1"/>
      <c r="V49" s="1"/>
      <c r="W49" s="1"/>
      <c r="X49" s="1"/>
      <c r="Y49" s="1"/>
      <c r="Z49" s="1"/>
    </row>
    <row r="50" spans="1:26" ht="13" x14ac:dyDescent="0.3">
      <c r="A50" s="2" t="s">
        <v>27</v>
      </c>
      <c r="B50" s="1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7">
        <f t="shared" ref="P50:T50" si="18">-1.24*$P$15/5</f>
        <v>6200000</v>
      </c>
      <c r="Q50" s="7">
        <f t="shared" si="18"/>
        <v>6200000</v>
      </c>
      <c r="R50" s="7">
        <f t="shared" si="18"/>
        <v>6200000</v>
      </c>
      <c r="S50" s="7">
        <f t="shared" si="18"/>
        <v>6200000</v>
      </c>
      <c r="T50" s="7">
        <f t="shared" si="18"/>
        <v>6200000</v>
      </c>
      <c r="U50" s="9">
        <f>($B$6*$B$7)*T50*$B$5+$B$8*T50*$B$5</f>
        <v>2635000</v>
      </c>
      <c r="V50" s="1"/>
      <c r="W50" s="1"/>
      <c r="X50" s="1"/>
      <c r="Y50" s="1"/>
      <c r="Z50" s="1"/>
    </row>
    <row r="51" spans="1:26" ht="13" x14ac:dyDescent="0.3">
      <c r="A51" s="1"/>
      <c r="B51" s="1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3">
      <c r="A52" s="1" t="s">
        <v>42</v>
      </c>
      <c r="B52" s="1"/>
      <c r="C52" s="8">
        <f t="shared" ref="C52:U52" si="19">SUM(C37:C50)</f>
        <v>1222000</v>
      </c>
      <c r="D52" s="8">
        <f t="shared" si="19"/>
        <v>2932800</v>
      </c>
      <c r="E52" s="8">
        <f t="shared" si="19"/>
        <v>5327920</v>
      </c>
      <c r="F52" s="8">
        <f t="shared" si="19"/>
        <v>8681088</v>
      </c>
      <c r="G52" s="8">
        <f t="shared" si="19"/>
        <v>13375523.199999999</v>
      </c>
      <c r="H52" s="8">
        <f t="shared" si="19"/>
        <v>19172873.199999999</v>
      </c>
      <c r="I52" s="8">
        <f t="shared" si="19"/>
        <v>24169813.199999999</v>
      </c>
      <c r="J52" s="8">
        <f t="shared" si="19"/>
        <v>28565529.199999999</v>
      </c>
      <c r="K52" s="8">
        <f t="shared" si="19"/>
        <v>31819531.600000001</v>
      </c>
      <c r="L52" s="8">
        <f t="shared" si="19"/>
        <v>33895134.960000001</v>
      </c>
      <c r="M52" s="8">
        <f t="shared" si="19"/>
        <v>34362500</v>
      </c>
      <c r="N52" s="8">
        <f t="shared" si="19"/>
        <v>34062500</v>
      </c>
      <c r="O52" s="8">
        <f t="shared" si="19"/>
        <v>33762500</v>
      </c>
      <c r="P52" s="8">
        <f t="shared" si="19"/>
        <v>33635000</v>
      </c>
      <c r="Q52" s="8">
        <f t="shared" si="19"/>
        <v>27435000</v>
      </c>
      <c r="R52" s="8">
        <f t="shared" si="19"/>
        <v>21235000</v>
      </c>
      <c r="S52" s="8">
        <f t="shared" si="19"/>
        <v>15035000</v>
      </c>
      <c r="T52" s="8">
        <f t="shared" si="19"/>
        <v>8835000</v>
      </c>
      <c r="U52" s="8">
        <f t="shared" si="19"/>
        <v>2635000</v>
      </c>
      <c r="V52" s="1"/>
      <c r="W52" s="1"/>
      <c r="X52" s="1"/>
      <c r="Y52" s="1"/>
      <c r="Z52" s="1"/>
    </row>
    <row r="53" spans="1:26" ht="1.5" customHeight="1" x14ac:dyDescent="0.3">
      <c r="A53" s="1"/>
      <c r="B53" s="1"/>
      <c r="C53" s="7"/>
      <c r="D53" s="7"/>
      <c r="E53" s="7"/>
      <c r="F53" s="7"/>
      <c r="G53" s="7"/>
      <c r="H53" s="7"/>
      <c r="I53" s="7"/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.5" customHeight="1" x14ac:dyDescent="0.3">
      <c r="A54" s="1"/>
      <c r="B54" s="2"/>
      <c r="C54" s="7"/>
      <c r="D54" s="7"/>
      <c r="E54" s="7"/>
      <c r="F54" s="7"/>
      <c r="G54" s="7"/>
      <c r="H54" s="7"/>
      <c r="I54" s="7"/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.5" customHeight="1" x14ac:dyDescent="0.3">
      <c r="A55" s="1"/>
      <c r="B55" s="2"/>
      <c r="C55" s="7"/>
      <c r="D55" s="7"/>
      <c r="E55" s="7"/>
      <c r="F55" s="7"/>
      <c r="G55" s="7"/>
      <c r="H55" s="7"/>
      <c r="I55" s="7"/>
      <c r="J55" s="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 x14ac:dyDescent="0.3">
      <c r="A56" s="1" t="s">
        <v>33</v>
      </c>
      <c r="B56" s="1"/>
      <c r="C56" s="8">
        <f t="shared" ref="C56:U56" si="20">C52+C34</f>
        <v>-105750</v>
      </c>
      <c r="D56" s="8">
        <f t="shared" si="20"/>
        <v>141958.79999999981</v>
      </c>
      <c r="E56" s="8">
        <f t="shared" si="20"/>
        <v>344152.79999999981</v>
      </c>
      <c r="F56" s="8">
        <f t="shared" si="20"/>
        <v>693580.12800000049</v>
      </c>
      <c r="G56" s="8">
        <f t="shared" si="20"/>
        <v>1282840.1280000005</v>
      </c>
      <c r="H56" s="8">
        <f t="shared" si="20"/>
        <v>2371939.3279999979</v>
      </c>
      <c r="I56" s="8">
        <f t="shared" si="20"/>
        <v>3252879.3279999979</v>
      </c>
      <c r="J56" s="8">
        <f t="shared" si="20"/>
        <v>4400995.3279999979</v>
      </c>
      <c r="K56" s="8">
        <f t="shared" si="20"/>
        <v>5822357.7280000001</v>
      </c>
      <c r="L56" s="8">
        <f t="shared" si="20"/>
        <v>6929065.0879999995</v>
      </c>
      <c r="M56" s="8">
        <f t="shared" si="20"/>
        <v>7876430.1279999986</v>
      </c>
      <c r="N56" s="8">
        <f t="shared" si="20"/>
        <v>7924430.1279999986</v>
      </c>
      <c r="O56" s="8">
        <f t="shared" si="20"/>
        <v>8200000</v>
      </c>
      <c r="P56" s="8">
        <f t="shared" si="20"/>
        <v>8072500</v>
      </c>
      <c r="Q56" s="8">
        <f t="shared" si="20"/>
        <v>7435000</v>
      </c>
      <c r="R56" s="8">
        <f t="shared" si="20"/>
        <v>6235000</v>
      </c>
      <c r="S56" s="8">
        <f t="shared" si="20"/>
        <v>5035000</v>
      </c>
      <c r="T56" s="8">
        <f t="shared" si="20"/>
        <v>3835000</v>
      </c>
      <c r="U56" s="8">
        <f t="shared" si="20"/>
        <v>2635000</v>
      </c>
      <c r="V56" s="1"/>
      <c r="W56" s="1"/>
      <c r="X56" s="1"/>
      <c r="Y56" s="1"/>
      <c r="Z56" s="1"/>
    </row>
    <row r="57" spans="1:26" ht="12.5" x14ac:dyDescent="0.25">
      <c r="A57" s="2" t="s">
        <v>34</v>
      </c>
      <c r="B57" s="2"/>
      <c r="C57" s="7">
        <f>C56</f>
        <v>-105750</v>
      </c>
      <c r="D57" s="7">
        <f t="shared" ref="D57:U57" si="21">D56+C57</f>
        <v>36208.799999999814</v>
      </c>
      <c r="E57" s="7">
        <f t="shared" si="21"/>
        <v>380361.59999999963</v>
      </c>
      <c r="F57" s="7">
        <f t="shared" si="21"/>
        <v>1073941.7280000001</v>
      </c>
      <c r="G57" s="7">
        <f t="shared" si="21"/>
        <v>2356781.8560000006</v>
      </c>
      <c r="H57" s="7">
        <f t="shared" si="21"/>
        <v>4728721.1839999985</v>
      </c>
      <c r="I57" s="7">
        <f t="shared" si="21"/>
        <v>7981600.5119999964</v>
      </c>
      <c r="J57" s="7">
        <f t="shared" si="21"/>
        <v>12382595.839999994</v>
      </c>
      <c r="K57" s="7">
        <f t="shared" si="21"/>
        <v>18204953.567999996</v>
      </c>
      <c r="L57" s="7">
        <f t="shared" si="21"/>
        <v>25134018.655999996</v>
      </c>
      <c r="M57" s="7">
        <f t="shared" si="21"/>
        <v>33010448.783999994</v>
      </c>
      <c r="N57" s="7">
        <f t="shared" si="21"/>
        <v>40934878.911999993</v>
      </c>
      <c r="O57" s="7">
        <f t="shared" si="21"/>
        <v>49134878.911999993</v>
      </c>
      <c r="P57" s="7">
        <f t="shared" si="21"/>
        <v>57207378.911999993</v>
      </c>
      <c r="Q57" s="7">
        <f t="shared" si="21"/>
        <v>64642378.911999993</v>
      </c>
      <c r="R57" s="7">
        <f t="shared" si="21"/>
        <v>70877378.912</v>
      </c>
      <c r="S57" s="7">
        <f t="shared" si="21"/>
        <v>75912378.912</v>
      </c>
      <c r="T57" s="7">
        <f t="shared" si="21"/>
        <v>79747378.912</v>
      </c>
      <c r="U57" s="7">
        <f t="shared" si="21"/>
        <v>82382378.912</v>
      </c>
      <c r="V57" s="2"/>
      <c r="W57" s="2"/>
      <c r="X57" s="2"/>
      <c r="Y57" s="2"/>
      <c r="Z57" s="2"/>
    </row>
    <row r="58" spans="1:26" ht="13" x14ac:dyDescent="0.3">
      <c r="A58" s="1"/>
      <c r="B58" s="2"/>
      <c r="C58" s="7"/>
      <c r="D58" s="7"/>
      <c r="E58" s="7"/>
      <c r="F58" s="7"/>
      <c r="G58" s="7"/>
      <c r="H58" s="7"/>
      <c r="I58" s="7"/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3">
      <c r="A59" s="1" t="s">
        <v>35</v>
      </c>
      <c r="B59" s="2"/>
      <c r="C59" s="7"/>
      <c r="D59" s="7"/>
      <c r="E59" s="7"/>
      <c r="F59" s="7"/>
      <c r="G59" s="7"/>
      <c r="H59" s="7"/>
      <c r="I59" s="7"/>
      <c r="J59" s="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.5" customHeight="1" x14ac:dyDescent="0.25">
      <c r="A60" s="2"/>
      <c r="B60" s="2"/>
      <c r="C60" s="7"/>
      <c r="D60" s="7"/>
      <c r="E60" s="7"/>
      <c r="F60" s="7"/>
      <c r="G60" s="7"/>
      <c r="H60" s="7"/>
      <c r="I60" s="7"/>
      <c r="J60" s="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5" x14ac:dyDescent="0.25">
      <c r="A61" s="2" t="s">
        <v>36</v>
      </c>
      <c r="B61" s="2"/>
      <c r="C61" s="7">
        <f>-0.7*(C15+C52)</f>
        <v>2434600</v>
      </c>
      <c r="D61" s="7">
        <f>-1.1*(D15+D52)</f>
        <v>4011920.0000000005</v>
      </c>
      <c r="E61" s="7">
        <f>-1.25*(E15+E52)</f>
        <v>4855100</v>
      </c>
      <c r="F61" s="7">
        <f>-1.35*(F15+F52)</f>
        <v>5691211.2000000002</v>
      </c>
      <c r="G61" s="7">
        <v>6300000</v>
      </c>
      <c r="H61" s="7">
        <v>8200000</v>
      </c>
      <c r="I61" s="7">
        <v>7200000</v>
      </c>
      <c r="J61" s="7">
        <v>1500000</v>
      </c>
      <c r="K61" s="7">
        <v>-9800000</v>
      </c>
      <c r="L61" s="7">
        <v>-7000000</v>
      </c>
      <c r="M61" s="7">
        <v>-8000000</v>
      </c>
      <c r="N61" s="7">
        <v>-5800000</v>
      </c>
      <c r="O61" s="7">
        <f>-N62</f>
        <v>-9592831.200000003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2"/>
      <c r="W61" s="2"/>
      <c r="X61" s="2"/>
      <c r="Y61" s="2"/>
      <c r="Z61" s="2"/>
    </row>
    <row r="62" spans="1:26" ht="12.5" x14ac:dyDescent="0.25">
      <c r="A62" s="2" t="s">
        <v>37</v>
      </c>
      <c r="B62" s="2"/>
      <c r="C62" s="7">
        <f>C61</f>
        <v>2434600</v>
      </c>
      <c r="D62" s="7">
        <f t="shared" ref="D62:S62" si="22">D61+C62</f>
        <v>6446520</v>
      </c>
      <c r="E62" s="7">
        <f t="shared" si="22"/>
        <v>11301620</v>
      </c>
      <c r="F62" s="7">
        <f t="shared" si="22"/>
        <v>16992831.199999999</v>
      </c>
      <c r="G62" s="7">
        <f t="shared" si="22"/>
        <v>23292831.199999999</v>
      </c>
      <c r="H62" s="7">
        <f t="shared" si="22"/>
        <v>31492831.199999999</v>
      </c>
      <c r="I62" s="7">
        <f t="shared" si="22"/>
        <v>38692831.200000003</v>
      </c>
      <c r="J62" s="7">
        <f t="shared" si="22"/>
        <v>40192831.200000003</v>
      </c>
      <c r="K62" s="7">
        <f t="shared" si="22"/>
        <v>30392831.200000003</v>
      </c>
      <c r="L62" s="7">
        <f t="shared" si="22"/>
        <v>23392831.200000003</v>
      </c>
      <c r="M62" s="7">
        <f t="shared" si="22"/>
        <v>15392831.200000003</v>
      </c>
      <c r="N62" s="7">
        <f t="shared" si="22"/>
        <v>9592831.200000003</v>
      </c>
      <c r="O62" s="7">
        <f t="shared" si="22"/>
        <v>0</v>
      </c>
      <c r="P62" s="7">
        <f t="shared" si="22"/>
        <v>0</v>
      </c>
      <c r="Q62" s="7">
        <f t="shared" si="22"/>
        <v>0</v>
      </c>
      <c r="R62" s="7">
        <f t="shared" si="22"/>
        <v>0</v>
      </c>
      <c r="S62" s="7">
        <f t="shared" si="22"/>
        <v>0</v>
      </c>
      <c r="T62" s="7">
        <v>0</v>
      </c>
      <c r="U62" s="7">
        <v>0</v>
      </c>
      <c r="V62" s="2"/>
      <c r="W62" s="2"/>
      <c r="X62" s="2"/>
      <c r="Y62" s="2"/>
      <c r="Z62" s="2"/>
    </row>
    <row r="63" spans="1:26" ht="12.5" x14ac:dyDescent="0.25">
      <c r="A63" s="2" t="s">
        <v>38</v>
      </c>
      <c r="B63" s="2"/>
      <c r="C63" s="4">
        <f>C62/(-C15)</f>
        <v>0.51800000000000002</v>
      </c>
      <c r="D63" s="4">
        <f>D62/(-D15-C15)</f>
        <v>0.57150000000000001</v>
      </c>
      <c r="E63" s="4">
        <f>E62/(-E15-D15-C15)</f>
        <v>0.55151376146788988</v>
      </c>
      <c r="F63" s="4">
        <f>F62/(-F15-E15-D15-C15)</f>
        <v>0.508938063063063</v>
      </c>
      <c r="G63" s="4">
        <f>G62/(-G15-F15-E15-D15-C15)</f>
        <v>0.45277751168642133</v>
      </c>
      <c r="H63" s="4">
        <f t="shared" ref="H63:U63" si="23">H62/(-H15-G15-F15-E15-D15-C15)</f>
        <v>0.41197084623161012</v>
      </c>
      <c r="I63" s="4">
        <f t="shared" si="23"/>
        <v>0.39994938410854514</v>
      </c>
      <c r="J63" s="4">
        <f t="shared" si="23"/>
        <v>0.34900419852259801</v>
      </c>
      <c r="K63" s="4">
        <f t="shared" si="23"/>
        <v>0.23209081900954487</v>
      </c>
      <c r="L63" s="4">
        <f t="shared" si="23"/>
        <v>0.16352274417652674</v>
      </c>
      <c r="M63" s="4">
        <f t="shared" si="23"/>
        <v>0.10261887466666669</v>
      </c>
      <c r="N63" s="4">
        <f t="shared" si="23"/>
        <v>6.3952208000000024E-2</v>
      </c>
      <c r="O63" s="4">
        <f t="shared" si="23"/>
        <v>0</v>
      </c>
      <c r="P63" s="4">
        <f t="shared" si="23"/>
        <v>0</v>
      </c>
      <c r="Q63" s="4">
        <f t="shared" si="23"/>
        <v>0</v>
      </c>
      <c r="R63" s="4">
        <f t="shared" si="23"/>
        <v>0</v>
      </c>
      <c r="S63" s="4">
        <f t="shared" si="23"/>
        <v>0</v>
      </c>
      <c r="T63" s="4">
        <f t="shared" si="23"/>
        <v>0</v>
      </c>
      <c r="U63" s="4">
        <f t="shared" si="23"/>
        <v>0</v>
      </c>
      <c r="V63" s="2"/>
      <c r="W63" s="2"/>
      <c r="X63" s="2"/>
      <c r="Y63" s="2"/>
      <c r="Z63" s="2"/>
    </row>
    <row r="64" spans="1:26" ht="12.5" x14ac:dyDescent="0.25">
      <c r="A64" s="2"/>
      <c r="B64" s="2"/>
      <c r="C64" s="7"/>
      <c r="D64" s="7"/>
      <c r="E64" s="7"/>
      <c r="F64" s="7"/>
      <c r="G64" s="7"/>
      <c r="H64" s="7"/>
      <c r="I64" s="7"/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5" x14ac:dyDescent="0.25">
      <c r="A65" s="2" t="s">
        <v>39</v>
      </c>
      <c r="B65" s="2"/>
      <c r="C65" s="7">
        <f>C12</f>
        <v>1700000</v>
      </c>
      <c r="D65" s="7">
        <f t="shared" ref="D65:U65" si="24">C66</f>
        <v>268850</v>
      </c>
      <c r="E65" s="7">
        <f t="shared" si="24"/>
        <v>98728.800000000279</v>
      </c>
      <c r="F65" s="7">
        <f t="shared" si="24"/>
        <v>184381.60000000102</v>
      </c>
      <c r="G65" s="7">
        <f t="shared" si="24"/>
        <v>350132.9280000017</v>
      </c>
      <c r="H65" s="7">
        <f t="shared" si="24"/>
        <v>166317.05600000033</v>
      </c>
      <c r="I65" s="7">
        <f t="shared" si="24"/>
        <v>87120.383999998216</v>
      </c>
      <c r="J65" s="7">
        <f t="shared" si="24"/>
        <v>3572863.7119999961</v>
      </c>
      <c r="K65" s="7">
        <f t="shared" si="24"/>
        <v>5664323.0399999935</v>
      </c>
      <c r="L65" s="7">
        <f t="shared" si="24"/>
        <v>297784.76799999364</v>
      </c>
      <c r="M65" s="7">
        <f t="shared" si="24"/>
        <v>226849.85599999316</v>
      </c>
      <c r="N65" s="7">
        <f t="shared" si="24"/>
        <v>103279.98399999179</v>
      </c>
      <c r="O65" s="7">
        <f t="shared" si="24"/>
        <v>2227710.1119999904</v>
      </c>
      <c r="P65" s="7">
        <f t="shared" si="24"/>
        <v>834878.91199998744</v>
      </c>
      <c r="Q65" s="7">
        <f t="shared" si="24"/>
        <v>8907378.9119999874</v>
      </c>
      <c r="R65" s="7">
        <f t="shared" si="24"/>
        <v>36342378.911999986</v>
      </c>
      <c r="S65" s="7">
        <f t="shared" si="24"/>
        <v>57577378.911999986</v>
      </c>
      <c r="T65" s="7">
        <f t="shared" si="24"/>
        <v>72612378.911999986</v>
      </c>
      <c r="U65" s="7">
        <f t="shared" si="24"/>
        <v>81447378.911999986</v>
      </c>
      <c r="V65" s="2"/>
      <c r="W65" s="2"/>
      <c r="X65" s="2"/>
      <c r="Y65" s="2"/>
      <c r="Z65" s="2"/>
    </row>
    <row r="66" spans="1:26" ht="12.5" x14ac:dyDescent="0.25">
      <c r="A66" s="2" t="s">
        <v>40</v>
      </c>
      <c r="B66" s="2"/>
      <c r="C66" s="7">
        <f>C12+C15+C32+C33+C52+C61</f>
        <v>268850</v>
      </c>
      <c r="D66" s="7">
        <f t="shared" ref="D66:U66" si="25">D12+D15+D32+D33+D52+D61+C66</f>
        <v>98728.800000000279</v>
      </c>
      <c r="E66" s="7">
        <f t="shared" si="25"/>
        <v>184381.60000000102</v>
      </c>
      <c r="F66" s="7">
        <f t="shared" si="25"/>
        <v>350132.9280000017</v>
      </c>
      <c r="G66" s="7">
        <f t="shared" si="25"/>
        <v>166317.05600000033</v>
      </c>
      <c r="H66" s="7">
        <f t="shared" si="25"/>
        <v>87120.383999998216</v>
      </c>
      <c r="I66" s="7">
        <f t="shared" si="25"/>
        <v>3572863.7119999961</v>
      </c>
      <c r="J66" s="7">
        <f t="shared" si="25"/>
        <v>5664323.0399999935</v>
      </c>
      <c r="K66" s="7">
        <f t="shared" si="25"/>
        <v>297784.76799999364</v>
      </c>
      <c r="L66" s="7">
        <f t="shared" si="25"/>
        <v>226849.85599999316</v>
      </c>
      <c r="M66" s="7">
        <f t="shared" si="25"/>
        <v>103279.98399999179</v>
      </c>
      <c r="N66" s="7">
        <f t="shared" si="25"/>
        <v>2227710.1119999904</v>
      </c>
      <c r="O66" s="7">
        <f t="shared" si="25"/>
        <v>834878.91199998744</v>
      </c>
      <c r="P66" s="7">
        <f t="shared" si="25"/>
        <v>8907378.9119999874</v>
      </c>
      <c r="Q66" s="7">
        <f t="shared" si="25"/>
        <v>36342378.911999986</v>
      </c>
      <c r="R66" s="7">
        <f t="shared" si="25"/>
        <v>57577378.911999986</v>
      </c>
      <c r="S66" s="7">
        <f t="shared" si="25"/>
        <v>72612378.911999986</v>
      </c>
      <c r="T66" s="7">
        <f t="shared" si="25"/>
        <v>81447378.911999986</v>
      </c>
      <c r="U66" s="7">
        <f t="shared" si="25"/>
        <v>84082378.911999986</v>
      </c>
      <c r="V66" s="2"/>
      <c r="W66" s="2"/>
      <c r="X66" s="2"/>
      <c r="Y66" s="2"/>
      <c r="Z66" s="2"/>
    </row>
    <row r="67" spans="1:26" ht="12.5" x14ac:dyDescent="0.25">
      <c r="A67" s="2"/>
      <c r="B67" s="2"/>
      <c r="C67" s="7"/>
      <c r="D67" s="7"/>
      <c r="E67" s="7"/>
      <c r="F67" s="7"/>
      <c r="G67" s="7"/>
      <c r="H67" s="7"/>
      <c r="I67" s="7"/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5" x14ac:dyDescent="0.25">
      <c r="A68" s="2"/>
      <c r="B68" s="2"/>
      <c r="C68" s="7"/>
      <c r="D68" s="7"/>
      <c r="E68" s="7"/>
      <c r="F68" s="7"/>
      <c r="G68" s="7"/>
      <c r="H68" s="7"/>
      <c r="I68" s="7"/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5" x14ac:dyDescent="0.25">
      <c r="A69" s="2"/>
      <c r="B69" s="2"/>
      <c r="C69" s="7"/>
      <c r="D69" s="7"/>
      <c r="E69" s="7"/>
      <c r="F69" s="7"/>
      <c r="G69" s="7"/>
      <c r="H69" s="7"/>
      <c r="I69" s="7"/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5" x14ac:dyDescent="0.25">
      <c r="A70" s="2"/>
      <c r="B70" s="2"/>
      <c r="C70" s="7"/>
      <c r="D70" s="7"/>
      <c r="E70" s="7"/>
      <c r="F70" s="7"/>
      <c r="G70" s="7"/>
      <c r="H70" s="7"/>
      <c r="I70" s="7"/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5" x14ac:dyDescent="0.25">
      <c r="A71" s="2"/>
      <c r="B71" s="2"/>
      <c r="C71" s="7"/>
      <c r="D71" s="7"/>
      <c r="E71" s="7"/>
      <c r="F71" s="7"/>
      <c r="G71" s="7"/>
      <c r="H71" s="7"/>
      <c r="I71" s="7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5" x14ac:dyDescent="0.25">
      <c r="A72" s="2"/>
      <c r="B72" s="2"/>
      <c r="C72" s="7"/>
      <c r="D72" s="7"/>
      <c r="E72" s="7"/>
      <c r="F72" s="7"/>
      <c r="G72" s="7"/>
      <c r="H72" s="7"/>
      <c r="I72" s="7"/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5" x14ac:dyDescent="0.25">
      <c r="A73" s="2"/>
      <c r="B73" s="2"/>
      <c r="C73" s="7"/>
      <c r="D73" s="7"/>
      <c r="E73" s="7"/>
      <c r="F73" s="7"/>
      <c r="G73" s="7"/>
      <c r="H73" s="7"/>
      <c r="I73" s="7"/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5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5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5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5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2.5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2.5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2.5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2.5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2.5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2.5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2.5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2.5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2.5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2.5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2.5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2.5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2.5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2.5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2.5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2.5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2.5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2.5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2.5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2.5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2.5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2.5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2.5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2.5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2.5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2.5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2.5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2.5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2.5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2.5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2.5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2.5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2.5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2.5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2.5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2.5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2.5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2.5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2.5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2.5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2.5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2.5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2.5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2.5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2.5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2.5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2.5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2.5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2.5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</sheetData>
  <printOptions horizontalCentered="1" gridLines="1"/>
  <pageMargins left="0.25" right="0.25" top="0.75" bottom="0.75" header="0" footer="0"/>
  <pageSetup paperSize="9" fitToWidth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 Plan 4.7M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Thijs</cp:lastModifiedBy>
  <dcterms:modified xsi:type="dcterms:W3CDTF">2026-02-25T10:44:44Z</dcterms:modified>
</cp:coreProperties>
</file>